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2120" windowHeight="5955" tabRatio="843" activeTab="3"/>
  </bookViews>
  <sheets>
    <sheet name="งบทดลอง" sheetId="1" r:id="rId1"/>
    <sheet name="รายรับจริงประกอบงบทดลอง" sheetId="2" r:id="rId2"/>
    <sheet name="งบรายรับ-รายจ่ายตามงบประมาณ" sheetId="3" r:id="rId3"/>
    <sheet name="รายงานรับ-จ่ายเงินสด" sheetId="4" r:id="rId4"/>
  </sheets>
  <definedNames>
    <definedName name="_xlfn.BAHTTEXT" hidden="1">#NAME?</definedName>
    <definedName name="_xlnm.Print_Area" localSheetId="0">'งบทดลอง'!$A$1:$E$42</definedName>
    <definedName name="_xlnm.Print_Area" localSheetId="3">'รายงานรับ-จ่ายเงินสด'!$A$1:$F$77</definedName>
  </definedNames>
  <calcPr fullCalcOnLoad="1"/>
</workbook>
</file>

<file path=xl/sharedStrings.xml><?xml version="1.0" encoding="utf-8"?>
<sst xmlns="http://schemas.openxmlformats.org/spreadsheetml/2006/main" count="397" uniqueCount="295">
  <si>
    <t xml:space="preserve">      องค์การบริหารส่วนตำบลห้วยกระทิง</t>
  </si>
  <si>
    <t>7000</t>
  </si>
  <si>
    <t>หมวดรายได้เบ็ตเตล็ด</t>
  </si>
  <si>
    <t>(3) รายได้เบ็ตเตล็ดอื่น ๆ</t>
  </si>
  <si>
    <t>(1) เงินที่มีผู้อุทิศให้</t>
  </si>
  <si>
    <t>(2) ค่าขายแบบแปลน</t>
  </si>
  <si>
    <t>0301</t>
  </si>
  <si>
    <t>หมวดรายได้จากทุน</t>
  </si>
  <si>
    <t>0351</t>
  </si>
  <si>
    <t>(1) ค่าขายทอดตลาดทรัพย์สิน</t>
  </si>
  <si>
    <t>รายได้ที่รัฐบาลจัดเก็บแล้วจัดสรรให้องค์กรปกครองส่วนท้องถิ่น</t>
  </si>
  <si>
    <t>(1) ภาษีและค่าธรรมเนียมรถยนต์และล้อเลื่อน</t>
  </si>
  <si>
    <t>(2) ภาษีมูลค่าเพิ่ม</t>
  </si>
  <si>
    <t>1004</t>
  </si>
  <si>
    <t>1010</t>
  </si>
  <si>
    <t>1011</t>
  </si>
  <si>
    <t>1013</t>
  </si>
  <si>
    <t>1016</t>
  </si>
  <si>
    <t>รายได้ที่รัฐบาลอุดหนุนให้องค์กรปกครองส่วนท้องถิ่น</t>
  </si>
  <si>
    <t>หมวดเงินอุดหนุน</t>
  </si>
  <si>
    <r>
      <t>เงินรับฝาก</t>
    </r>
    <r>
      <rPr>
        <b/>
        <sz val="16"/>
        <rFont val="Browallia New"/>
        <family val="2"/>
      </rPr>
      <t xml:space="preserve"> (หมายเหตุ 2)</t>
    </r>
  </si>
  <si>
    <t>รายรับ  (หมายเหตุ 1)</t>
  </si>
  <si>
    <t>รายได้จากทรัพย์สิน</t>
  </si>
  <si>
    <t>0200</t>
  </si>
  <si>
    <t xml:space="preserve"> -</t>
  </si>
  <si>
    <t>รายได้จากสาธารณูปโภคและการพาณิชย์</t>
  </si>
  <si>
    <t>0250</t>
  </si>
  <si>
    <t>องค์การบริหารส่วนตำบลห้วยกระทิง</t>
  </si>
  <si>
    <t>เดบิท</t>
  </si>
  <si>
    <t>รายการ</t>
  </si>
  <si>
    <t>จำนวนเงิน</t>
  </si>
  <si>
    <t>ยอดยกไป</t>
  </si>
  <si>
    <t>ยอดยกมา</t>
  </si>
  <si>
    <t>900</t>
  </si>
  <si>
    <t>010</t>
  </si>
  <si>
    <t>5250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</si>
  <si>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</si>
  <si>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</si>
  <si>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</si>
  <si>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</si>
  <si>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</si>
  <si>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</si>
  <si>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</si>
  <si>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</si>
  <si>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</si>
  <si>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</si>
  <si>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</si>
  <si>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</si>
  <si>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</si>
  <si>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เงินสด</t>
  </si>
  <si>
    <t>รับคืน - งบกลาง</t>
  </si>
  <si>
    <t xml:space="preserve">            หัวหน้าส่วนการคลัง               ปลัดองค์การบริหารส่วนตำบลห้วยกระทิง        นายกองค์การบริหารส่วนตำบลห้วยกระทิง</t>
  </si>
  <si>
    <t>6000</t>
  </si>
  <si>
    <t>รายจ่ายงบกลาง</t>
  </si>
  <si>
    <t xml:space="preserve">งบทดลอง  </t>
  </si>
  <si>
    <t>ชื่อบัญชี</t>
  </si>
  <si>
    <t xml:space="preserve"> บัญชี </t>
  </si>
  <si>
    <t>022</t>
  </si>
  <si>
    <t>023</t>
  </si>
  <si>
    <t>024</t>
  </si>
  <si>
    <t>821</t>
  </si>
  <si>
    <t>รายจ่ายค้างจ่าย</t>
  </si>
  <si>
    <t>เงินอุดหนุนเฉพาะกิจค้างจ่าย</t>
  </si>
  <si>
    <t>602</t>
  </si>
  <si>
    <t>ลูกหนี้เงินยืมเงินงบประมาณ</t>
  </si>
  <si>
    <t>020</t>
  </si>
  <si>
    <t>450</t>
  </si>
  <si>
    <t>รายรับจริง</t>
  </si>
  <si>
    <t xml:space="preserve"> +</t>
  </si>
  <si>
    <t>สูง</t>
  </si>
  <si>
    <t>ต่ำ</t>
  </si>
  <si>
    <t>รายรับตามประมาณการ</t>
  </si>
  <si>
    <t>รายรับ</t>
  </si>
  <si>
    <t xml:space="preserve">       ภาษีอากร</t>
  </si>
  <si>
    <t xml:space="preserve">      ค่าธรรมเนียม ค่าปรับ และใบอนุญาต</t>
  </si>
  <si>
    <t xml:space="preserve">      รายได้จากทรัพย์สิน</t>
  </si>
  <si>
    <t xml:space="preserve">      รายได้จากสาธารณูปโภคและการพาณิชย์</t>
  </si>
  <si>
    <t xml:space="preserve">      รายได้เบ็ดเตล็ด</t>
  </si>
  <si>
    <t xml:space="preserve">      รายได้จากทุน</t>
  </si>
  <si>
    <t xml:space="preserve">      เงินอุดหนุน</t>
  </si>
  <si>
    <t>รวมเงินตามประมาณการรายรับทั้งสิ้น</t>
  </si>
  <si>
    <t>รายจ่ายจริง</t>
  </si>
  <si>
    <t xml:space="preserve">       งบกลาง</t>
  </si>
  <si>
    <t>-</t>
  </si>
  <si>
    <t xml:space="preserve">       เงินเดือน</t>
  </si>
  <si>
    <t xml:space="preserve">       ค่าจ้างประจำ</t>
  </si>
  <si>
    <t xml:space="preserve">       ค่าจ้างชั่วคราว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</si>
  <si>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</si>
  <si>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</si>
  <si>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</si>
  <si>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</si>
  <si>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</si>
  <si>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</si>
  <si>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>5000</t>
  </si>
  <si>
    <t>5100</t>
  </si>
  <si>
    <t>5120</t>
  </si>
  <si>
    <t>5130</t>
  </si>
  <si>
    <t>5300</t>
  </si>
  <si>
    <t xml:space="preserve">       ค่าที่ดินและสิ่งก่อสร้าง</t>
  </si>
  <si>
    <t xml:space="preserve">       รายจ่ายอื่น</t>
  </si>
  <si>
    <t>รวมรายจ่ายตามงบประมาณการรายจ่ายทั้งสิ้น</t>
  </si>
  <si>
    <t>รายจ่ายที่จ่ายจากเงินอุดหนุนที่รัฐบาลให้โดยระบุวัตถุประสงค์</t>
  </si>
  <si>
    <t>-  โครงการก่อสร้างถนน คสล.สายนารา</t>
  </si>
  <si>
    <t xml:space="preserve">                                       ( ต่ำกว่า )</t>
  </si>
  <si>
    <t>รายจ่ายอื่น</t>
  </si>
  <si>
    <t>7250</t>
  </si>
  <si>
    <t>รับฝาก (หมายเหตุ 2)</t>
  </si>
  <si>
    <t>เงินยืมเงินงบประมาณ</t>
  </si>
  <si>
    <t>-  เงินอุดหนุนเป็นค่าตอบแทนพิเศษรายเดือน</t>
  </si>
  <si>
    <t>-  เงินอุดหนุนเพื่อจัดซื้ออาหารเสริมนมชั้นปีที่ 5-6</t>
  </si>
  <si>
    <t>-  เงินสนับสนุนการสงเคราะห์เบี้ยยังชีพผู้สูงอายุ</t>
  </si>
  <si>
    <t>5550</t>
  </si>
  <si>
    <t>รับคืน - เงินสะสม</t>
  </si>
  <si>
    <t>องค์การบริหารส่วนตำบลห้วยกระทิง       อำเภอกรงปินัง       จังหวัดยะลา</t>
  </si>
  <si>
    <t>องค์การบริหารส่วนตำบลห้วยกระทิง     อำเภอกรงปินัง     จังหวัดยะลา</t>
  </si>
  <si>
    <t>6270</t>
  </si>
  <si>
    <t>6550</t>
  </si>
  <si>
    <t>รับคืน - ค่าใช้สอย</t>
  </si>
  <si>
    <t xml:space="preserve">   -  ประเภทออมทรัพย์   เลขที่  061-2-32771-4 (บัญชีเงินทุนฯ)</t>
  </si>
  <si>
    <t>ธนาคารกรุงไทย (ประเภทกระแสรายวัน) เลขที่ 932-6-01025-2</t>
  </si>
  <si>
    <t>เงินขาดบัญชี</t>
  </si>
  <si>
    <t>091</t>
  </si>
  <si>
    <t>703</t>
  </si>
  <si>
    <t xml:space="preserve">      หัวหน้าส่วนการคลัง        ปลัดองค์การบริหารส่วนตำบลห้วยกระทิง      นายกองค์การบริหารส่วนตำบลห้วยกระทิง</t>
  </si>
  <si>
    <t xml:space="preserve">         (นายสถาพร  มาหะมะ)                    (นายมานิตย์  ชุมห้อง)                          (นายวันอับดุลละห์  ตะโละ)</t>
  </si>
  <si>
    <t>6500</t>
  </si>
  <si>
    <t xml:space="preserve">                                        สูงกว่า</t>
  </si>
  <si>
    <t>0202</t>
  </si>
  <si>
    <t>0101</t>
  </si>
  <si>
    <t>0102</t>
  </si>
  <si>
    <t>0103</t>
  </si>
  <si>
    <t>1001</t>
  </si>
  <si>
    <t>1002</t>
  </si>
  <si>
    <t>1005</t>
  </si>
  <si>
    <t>1006</t>
  </si>
  <si>
    <t>0140</t>
  </si>
  <si>
    <t>0203</t>
  </si>
  <si>
    <t>0302</t>
  </si>
  <si>
    <t>0307</t>
  </si>
  <si>
    <t>รวม</t>
  </si>
  <si>
    <t>500</t>
  </si>
  <si>
    <t>000</t>
  </si>
  <si>
    <t xml:space="preserve">                                                รายรับ                          รายจ่าย</t>
  </si>
  <si>
    <t>หมายเหตุ 1</t>
  </si>
  <si>
    <r>
      <t>รายจ่ายค้างจ่าย</t>
    </r>
    <r>
      <rPr>
        <b/>
        <sz val="16"/>
        <rFont val="Browallia New"/>
        <family val="2"/>
      </rPr>
      <t xml:space="preserve"> (หมายเหตุ 3 )</t>
    </r>
  </si>
  <si>
    <r>
      <t>เงินอุดหนุนค้างจ่าย</t>
    </r>
    <r>
      <rPr>
        <b/>
        <sz val="16"/>
        <rFont val="Browallia New"/>
        <family val="2"/>
      </rPr>
      <t xml:space="preserve"> (หมายเหตุ )</t>
    </r>
  </si>
  <si>
    <t xml:space="preserve">  (ลงชื่อ)………………………..              (ลงชื่อ)…………….…………………                       (ลงชื่อ)…………..……………...</t>
  </si>
  <si>
    <t xml:space="preserve">           (นายสถาพร  มาหะมะ)                      (นายมานิตย์  ชุมห้อง)                                        (นายวันอับดุลละห์  ตะโละ)</t>
  </si>
  <si>
    <t>(1) เงินอุดหนุนเพื่อการบูรณะท้องถิ่นและกิจการอื่นทั่วไป</t>
  </si>
  <si>
    <t>(2) เงินอุดหนุนทั่วไป (อบต.)</t>
  </si>
  <si>
    <t>2001</t>
  </si>
  <si>
    <t>(3) เงินอุดหนุนกรณีต่าง ๆ  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</si>
  <si>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</si>
  <si>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</si>
  <si>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</si>
  <si>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</si>
  <si>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3001</t>
  </si>
  <si>
    <t>(2) ค่าธรรมเนียมเกี่ยวกับใบอนุญาตการขายสุรา</t>
  </si>
  <si>
    <t>(3) ค่าปรับผู้กระทำผิดกฏหมายจราจรทางบก</t>
  </si>
  <si>
    <t>(2) เงินสะสมจากการโอนกิจการสาธารณูปโภคหรือการพาณิชย์</t>
  </si>
  <si>
    <t>0252</t>
  </si>
  <si>
    <t>0201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</si>
  <si>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</si>
  <si>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</si>
  <si>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</si>
  <si>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 ๆ</t>
  </si>
  <si>
    <t>0204</t>
  </si>
  <si>
    <t>(3) ภาษีบำรุง อบจ.  จากภาษีมูลค่าเพิ่ม ฯ 5%</t>
  </si>
  <si>
    <t>1003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</si>
  <si>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</si>
  <si>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</si>
  <si>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</si>
  <si>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</si>
  <si>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</si>
  <si>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ค่าธรรมเนียมจดทะเบียนสิทธินิติกรรมที่ดิน</t>
  </si>
  <si>
    <t>(10) ค่าธรรมเนียมน้ำบาดาลและใช้น้ำบาดาล</t>
  </si>
  <si>
    <t>0139</t>
  </si>
  <si>
    <t>0138</t>
  </si>
  <si>
    <t>(4) ค่าปรับผู้กระทำผิดกฏหมายการป้องกันและระงับอัคคีภัย</t>
  </si>
  <si>
    <t>(5) ค่าปรับผู้กระทำผิดกฏหมายและข้อบังคับท้องถิ่น</t>
  </si>
  <si>
    <t>(6) ค่าปรับการผิดสัญญา</t>
  </si>
  <si>
    <t>(7) ค่าปรับอื่น ๆ</t>
  </si>
  <si>
    <t>คงเหลือ</t>
  </si>
  <si>
    <t>3002</t>
  </si>
  <si>
    <t>-  ส่วนลดในการจัดเก็บภาษีฯ  6%</t>
  </si>
  <si>
    <t>-  ค่าใช้จ่ายในการจัดเก็บภาษี  5%</t>
  </si>
  <si>
    <t>-  เงินประกันสัญญา</t>
  </si>
  <si>
    <t>-  ภาษีหัก ณ ที่จ่าย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</si>
  <si>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</si>
  <si>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</si>
  <si>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</si>
  <si>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</si>
  <si>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</si>
  <si>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</si>
  <si>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</si>
  <si>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</si>
  <si>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เงินอุดหนุนเฉพาะกิจ</t>
  </si>
  <si>
    <t>3000</t>
  </si>
  <si>
    <t>รวมรายรับ</t>
  </si>
  <si>
    <t xml:space="preserve"> -  2  -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</si>
  <si>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</si>
  <si>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</si>
  <si>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</si>
  <si>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</si>
  <si>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</si>
  <si>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</si>
  <si>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</si>
  <si>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</si>
  <si>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</si>
  <si>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</si>
  <si>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</si>
  <si>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</si>
  <si>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</si>
  <si>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 xml:space="preserve">รายจ่ายอื่น </t>
  </si>
  <si>
    <t>550</t>
  </si>
  <si>
    <t>7500</t>
  </si>
  <si>
    <t>เงินสะสม</t>
  </si>
  <si>
    <t>700</t>
  </si>
  <si>
    <t>เงินรับฝาก (หมายเหตุ 2)</t>
  </si>
  <si>
    <t>ลูกหนี้เงินยืม เงินงบประมาณ</t>
  </si>
  <si>
    <t>090</t>
  </si>
  <si>
    <t xml:space="preserve"> 600</t>
  </si>
  <si>
    <t>ลูกหนี้เงินยืมเงินสะสม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</si>
  <si>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</si>
  <si>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</si>
  <si>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</si>
  <si>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</si>
  <si>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ทุนสำรองเงินสะสม</t>
  </si>
  <si>
    <t>(2) เงินอุดหนุนเฉพาะกิจจาก-กรมส่งเสริมการปกครองท้องถิ่น</t>
  </si>
  <si>
    <t>รับ</t>
  </si>
  <si>
    <t>จ่าย</t>
  </si>
  <si>
    <t>รายจ่ายค้างจ่าย (หมายเหตุ 3)</t>
  </si>
  <si>
    <t xml:space="preserve">-  เงินทุนโครงการเศษฐกิจชุมชน  </t>
  </si>
  <si>
    <t>ที่ดินและสิ่งก่อสร้าง</t>
  </si>
  <si>
    <t>-  เงินสนับสนุนศูนย์พัฒนาเด็กเล็ก(ค่าตอบแทนพื้นที่พิเศษ)</t>
  </si>
  <si>
    <t>-  โครงการส่งเสริมและพัฒนาองค์ความรู้ให้แก่บุคลากร อปท.</t>
  </si>
  <si>
    <t>-  ค่าอาหารกลางวันศูนย์พัฒนาเด็กเล็กบ้านบารู</t>
  </si>
  <si>
    <t>-  เงินอุดหนุนภูมิปัญญาท้องถิ่น</t>
  </si>
  <si>
    <t>รับคืน - ค่าวัสดุ</t>
  </si>
  <si>
    <t>วันที่  31  สิงหาคม  2553</t>
  </si>
  <si>
    <t xml:space="preserve">                                          ประจำเดือน   สิงหาคม  พ.ศ.  2553 </t>
  </si>
  <si>
    <t xml:space="preserve">   (ลงชื่อ)……….....…………..                  (ลงชื่อ)……………………………           (ลงชื่อ)………….......……………</t>
  </si>
  <si>
    <t>ตั้งแต่วันที่  1   ตุลาคม  2552  ถึงวันที่  31  สิงหาคม  2553</t>
  </si>
  <si>
    <t>ณ  วันที่  31  เดือน  สิงหาคม  พ.ศ. 2553</t>
  </si>
  <si>
    <t xml:space="preserve">           (นายสถาพร  มาหะมะ)                         (นายมานิตย์  ชุมห้อง)                         (นายวันอับดุลละห์  ตะโละ)</t>
  </si>
  <si>
    <t xml:space="preserve">           หัวหน้าส่วนการคลัง            ปลัดองค์การบริหารส่วนตำบลห้วยกระทิง                    นายกองค์การบริหารส่วนตำบลห้วยกระทิง      </t>
  </si>
  <si>
    <t>เงินฝากธนาคาร ธกส.สาขายะลา</t>
  </si>
  <si>
    <t>6450</t>
  </si>
  <si>
    <t>หมายเหตุ 2</t>
  </si>
  <si>
    <t>หมายเหตุ 3</t>
  </si>
  <si>
    <t>รวมรายรับทั้งสิ้น</t>
  </si>
  <si>
    <t>400</t>
  </si>
  <si>
    <t xml:space="preserve">      อำเภอกรงปินัง         จังหวัดยะลา</t>
  </si>
  <si>
    <t>5200</t>
  </si>
  <si>
    <t>เงินอุดหนุนที่รัฐบาลให้โดยระบุวัตถุประสงค์</t>
  </si>
  <si>
    <t>รายจ่ายตามประมาณการ</t>
  </si>
  <si>
    <t xml:space="preserve">        รวมรายจ่ายทั้งสิ้น</t>
  </si>
  <si>
    <t>-  เงินสนับสนุนศูนย์ถ่ายทอดเทคโนโลยี</t>
  </si>
  <si>
    <t>6250</t>
  </si>
  <si>
    <t>021</t>
  </si>
  <si>
    <t>งบรายรับ-รายจ่ายตามงบประมาณ   ประจำปี   2553</t>
  </si>
  <si>
    <t>ปีงบประมาณ    2553</t>
  </si>
  <si>
    <t>-  ค่าอาหารเสริม(นม)ศูนย์พัฒนาเด็กเล็ก</t>
  </si>
  <si>
    <t>-  ค่าอาหารเสริม(นม) โรงเรียน</t>
  </si>
  <si>
    <t>รวมทั้งสิ้น</t>
  </si>
  <si>
    <t>รหัสบัญชี</t>
  </si>
  <si>
    <t>2002</t>
  </si>
  <si>
    <t>รายรับจริงประกอบงบทดลองและรายงานรับ - จ่ายเงินสด</t>
  </si>
  <si>
    <t>รายได้จัดเก็บเอง</t>
  </si>
  <si>
    <t>หมวดภาษีอากร</t>
  </si>
  <si>
    <t>รับตั้งแต่ต้นปี</t>
  </si>
  <si>
    <t>รับเดือนนี้</t>
  </si>
  <si>
    <t>0104</t>
  </si>
  <si>
    <t>(1) ภาษีโรงเรือนและที่ดิน</t>
  </si>
  <si>
    <t>(2) ภาษีบำรุงท้องที่</t>
  </si>
  <si>
    <t>(3) ภาษีป้าย</t>
  </si>
  <si>
    <t>(4) อากรการฆ่าสัตว์</t>
  </si>
  <si>
    <t>หมวดค่าธรรมเนียม ค่าปรับและใบอนุญาต</t>
  </si>
  <si>
    <t>0137</t>
  </si>
  <si>
    <t>0121</t>
  </si>
  <si>
    <t>0122</t>
  </si>
  <si>
    <t xml:space="preserve">    - ค่าธรรมเนียมโรงฆ่าสัตว์</t>
  </si>
  <si>
    <t>(1) ค่าธรรมเนียมเกี่ยวกับควบคุมการฆ่าสัตว์และจำหน่ายเนื้อสัตว์</t>
  </si>
  <si>
    <t xml:space="preserve">    - ค่าธรรมเนียมโรงพักสัตว์</t>
  </si>
  <si>
    <t>0141</t>
  </si>
  <si>
    <t>หมวดรายได้จากทรัพย์สิน</t>
  </si>
  <si>
    <t>หมวดรายได้จากสาธารณูปโภคและการพาณิชย์</t>
  </si>
  <si>
    <t>0251</t>
  </si>
  <si>
    <t>(1) เงินช่วยเหลือท้องถิ่นจากกิจการเฉพาะการ</t>
  </si>
  <si>
    <t>+</t>
  </si>
  <si>
    <t>6200</t>
  </si>
  <si>
    <t>เครดิต</t>
  </si>
  <si>
    <t xml:space="preserve"> (ลงชื่อ)……………..……..                (ลงชื่อ)……………………………           (ลงชื่อ)………….......……………</t>
  </si>
  <si>
    <t xml:space="preserve">   -  ประเภทออมทรัพย์   เลขที่  061-2-20032-6</t>
  </si>
  <si>
    <t xml:space="preserve">   -  ประเภทประจำ  3  เดือน  เลขที่  061-4-03622-0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</si>
</sst>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t&quot;£&quot;#,##0_);\(t&quot;£&quot;#,##0\)"/>
    <numFmt numFmtId="218" formatCode="t&quot;£&quot;#,##0_);[Red]\(t&quot;£&quot;#,##0\)"/>
    <numFmt numFmtId="219" formatCode="t&quot;£&quot;#,##0.00_);\(t&quot;£&quot;#,##0.00\)"/>
    <numFmt numFmtId="220" formatCode="t&quot;£&quot;#,##0.00_);[Red]\(t&quot;£&quot;#,##0.00\)"/>
    <numFmt numFmtId="221" formatCode="_-* #,##0_-;\-* #,##0_-;_-* &quot;-&quot;??_-;_-@_-"/>
    <numFmt numFmtId="222" formatCode="d\ ดดดด\ bbbb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0.0"/>
    <numFmt numFmtId="228" formatCode="0.000"/>
    <numFmt numFmtId="229" formatCode="_(* #,##0.000_);_(* \(#,##0.000\);_(* &quot;-&quot;??_);_(@_)"/>
    <numFmt numFmtId="230" formatCode="_(* #,##0.0_);_(* \(#,##0.0\);_(* &quot;-&quot;??_);_(@_)"/>
    <numFmt numFmtId="231" formatCode="_(* #,##0_);_(* \(#,##0\);_(* &quot;-&quot;??_);_(@_)"/>
    <numFmt numFmtId="232" formatCode="_-* #,##0.0_-;\-* #,##0.0_-;_-* &quot;-&quot;??_-;_-@_-"/>
    <numFmt numFmtId="233" formatCode="[$-107041E]d\ mmmm\ yyyy;@"/>
    <numFmt numFmtId="234" formatCode="_-* #,##0.000_-;\-* #,##0.000_-;_-* &quot;-&quot;??_-;_-@_-"/>
    <numFmt numFmtId="235" formatCode="_(* #,##0.0000_);_(* \(#,##0.0000\);_(* &quot;-&quot;??_);_(@_)"/>
  </numFmts>
  <fonts count="27">
    <font>
      <sz val="10"/>
      <name val="Arial"/>
      <family val="0"/>
    </font>
    <font>
      <sz val="16"/>
      <name val="Browallia New"/>
      <family val="2"/>
    </font>
    <font>
      <b/>
      <sz val="16"/>
      <name val="Browallia New"/>
      <family val="2"/>
    </font>
    <font>
      <sz val="15"/>
      <name val="Browallia New"/>
      <family val="2"/>
    </font>
    <font>
      <b/>
      <sz val="18"/>
      <name val="Browallia New"/>
      <family val="2"/>
    </font>
    <font>
      <b/>
      <sz val="20"/>
      <name val="Browallia New"/>
      <family val="2"/>
    </font>
    <font>
      <b/>
      <u val="single"/>
      <sz val="16"/>
      <name val="Browallia New"/>
      <family val="2"/>
    </font>
    <font>
      <b/>
      <sz val="15"/>
      <name val="Browallia New"/>
      <family val="2"/>
    </font>
    <font>
      <sz val="8"/>
      <name val="Arial"/>
      <family val="0"/>
    </font>
    <font>
      <b/>
      <u val="single"/>
      <sz val="15"/>
      <name val="Browallia New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rowallia New"/>
      <family val="2"/>
    </font>
    <font>
      <sz val="18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b/>
      <sz val="12"/>
      <name val="Browallia New"/>
      <family val="2"/>
    </font>
    <font>
      <sz val="10"/>
      <name val="Browallia New"/>
      <family val="2"/>
    </font>
    <font>
      <sz val="11"/>
      <name val="Browallia New"/>
      <family val="2"/>
    </font>
    <font>
      <b/>
      <u val="single"/>
      <sz val="12"/>
      <name val="Browallia New"/>
      <family val="2"/>
    </font>
    <font>
      <b/>
      <u val="single"/>
      <sz val="13"/>
      <name val="Browallia New"/>
      <family val="2"/>
    </font>
    <font>
      <b/>
      <sz val="11"/>
      <name val="Browallia New"/>
      <family val="2"/>
    </font>
    <font>
      <b/>
      <sz val="10"/>
      <name val="Browallia New"/>
      <family val="2"/>
    </font>
    <font>
      <sz val="17"/>
      <name val="Browallia New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94" fontId="3" fillId="0" borderId="0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94" fontId="2" fillId="0" borderId="0" xfId="17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21" fontId="1" fillId="0" borderId="2" xfId="17" applyNumberFormat="1" applyFont="1" applyBorder="1" applyAlignment="1">
      <alignment/>
    </xf>
    <xf numFmtId="194" fontId="1" fillId="0" borderId="0" xfId="17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94" fontId="1" fillId="0" borderId="2" xfId="17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94" fontId="1" fillId="0" borderId="2" xfId="17" applyFont="1" applyBorder="1" applyAlignment="1">
      <alignment horizontal="center"/>
    </xf>
    <xf numFmtId="221" fontId="1" fillId="0" borderId="2" xfId="17" applyNumberFormat="1" applyFont="1" applyBorder="1" applyAlignment="1">
      <alignment horizontal="center"/>
    </xf>
    <xf numFmtId="194" fontId="1" fillId="0" borderId="10" xfId="17" applyFont="1" applyBorder="1" applyAlignment="1">
      <alignment/>
    </xf>
    <xf numFmtId="194" fontId="1" fillId="0" borderId="11" xfId="17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21" fontId="3" fillId="0" borderId="6" xfId="17" applyNumberFormat="1" applyFont="1" applyBorder="1" applyAlignment="1">
      <alignment/>
    </xf>
    <xf numFmtId="194" fontId="3" fillId="0" borderId="8" xfId="17" applyFont="1" applyBorder="1" applyAlignment="1">
      <alignment/>
    </xf>
    <xf numFmtId="0" fontId="9" fillId="0" borderId="6" xfId="0" applyFont="1" applyBorder="1" applyAlignment="1">
      <alignment/>
    </xf>
    <xf numFmtId="0" fontId="7" fillId="0" borderId="7" xfId="0" applyFont="1" applyBorder="1" applyAlignment="1">
      <alignment/>
    </xf>
    <xf numFmtId="194" fontId="3" fillId="0" borderId="2" xfId="17" applyFont="1" applyBorder="1" applyAlignment="1">
      <alignment/>
    </xf>
    <xf numFmtId="0" fontId="3" fillId="0" borderId="0" xfId="0" applyFont="1" applyBorder="1" applyAlignment="1">
      <alignment horizontal="center"/>
    </xf>
    <xf numFmtId="194" fontId="3" fillId="0" borderId="8" xfId="17" applyFont="1" applyBorder="1" applyAlignment="1">
      <alignment/>
    </xf>
    <xf numFmtId="0" fontId="9" fillId="0" borderId="8" xfId="0" applyFont="1" applyBorder="1" applyAlignment="1">
      <alignment/>
    </xf>
    <xf numFmtId="0" fontId="7" fillId="0" borderId="9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4" fontId="3" fillId="0" borderId="2" xfId="17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194" fontId="3" fillId="0" borderId="2" xfId="17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94" fontId="3" fillId="0" borderId="15" xfId="17" applyFont="1" applyBorder="1" applyAlignment="1">
      <alignment/>
    </xf>
    <xf numFmtId="194" fontId="3" fillId="0" borderId="10" xfId="17" applyFont="1" applyBorder="1" applyAlignment="1">
      <alignment/>
    </xf>
    <xf numFmtId="0" fontId="7" fillId="0" borderId="0" xfId="0" applyFont="1" applyBorder="1" applyAlignment="1">
      <alignment/>
    </xf>
    <xf numFmtId="194" fontId="3" fillId="0" borderId="16" xfId="17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94" fontId="3" fillId="0" borderId="11" xfId="17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94" fontId="4" fillId="0" borderId="0" xfId="17" applyFont="1" applyAlignment="1">
      <alignment horizontal="left"/>
    </xf>
    <xf numFmtId="194" fontId="2" fillId="0" borderId="0" xfId="17" applyFont="1" applyAlignment="1">
      <alignment horizontal="right"/>
    </xf>
    <xf numFmtId="194" fontId="2" fillId="0" borderId="0" xfId="17" applyFont="1" applyBorder="1" applyAlignment="1">
      <alignment horizontal="center"/>
    </xf>
    <xf numFmtId="194" fontId="2" fillId="0" borderId="17" xfId="17" applyFont="1" applyBorder="1" applyAlignment="1">
      <alignment horizontal="center"/>
    </xf>
    <xf numFmtId="194" fontId="2" fillId="0" borderId="0" xfId="17" applyFont="1" applyBorder="1" applyAlignment="1">
      <alignment/>
    </xf>
    <xf numFmtId="194" fontId="7" fillId="0" borderId="13" xfId="17" applyFont="1" applyBorder="1" applyAlignment="1">
      <alignment horizontal="center"/>
    </xf>
    <xf numFmtId="194" fontId="7" fillId="0" borderId="14" xfId="17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194" fontId="1" fillId="0" borderId="0" xfId="17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31" fontId="7" fillId="0" borderId="18" xfId="0" applyNumberFormat="1" applyFont="1" applyBorder="1" applyAlignment="1">
      <alignment/>
    </xf>
    <xf numFmtId="194" fontId="3" fillId="0" borderId="1" xfId="17" applyFont="1" applyBorder="1" applyAlignment="1">
      <alignment/>
    </xf>
    <xf numFmtId="194" fontId="1" fillId="0" borderId="0" xfId="17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7" fontId="3" fillId="0" borderId="26" xfId="0" applyNumberFormat="1" applyFont="1" applyBorder="1" applyAlignment="1" quotePrefix="1">
      <alignment horizontal="center"/>
    </xf>
    <xf numFmtId="194" fontId="3" fillId="0" borderId="27" xfId="17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7" fontId="3" fillId="0" borderId="0" xfId="0" applyNumberFormat="1" applyFont="1" applyBorder="1" applyAlignment="1" quotePrefix="1">
      <alignment horizontal="center"/>
    </xf>
    <xf numFmtId="194" fontId="1" fillId="0" borderId="0" xfId="17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231" fontId="3" fillId="0" borderId="27" xfId="17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17" fontId="15" fillId="0" borderId="26" xfId="0" applyNumberFormat="1" applyFont="1" applyBorder="1" applyAlignment="1" quotePrefix="1">
      <alignment horizontal="center"/>
    </xf>
    <xf numFmtId="231" fontId="15" fillId="0" borderId="27" xfId="17" applyNumberFormat="1" applyFont="1" applyBorder="1" applyAlignment="1">
      <alignment horizontal="center"/>
    </xf>
    <xf numFmtId="194" fontId="15" fillId="0" borderId="27" xfId="17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194" fontId="15" fillId="0" borderId="0" xfId="1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94" fontId="3" fillId="0" borderId="28" xfId="17" applyNumberFormat="1" applyFont="1" applyBorder="1" applyAlignment="1">
      <alignment horizontal="center"/>
    </xf>
    <xf numFmtId="194" fontId="3" fillId="0" borderId="11" xfId="17" applyNumberFormat="1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194" fontId="3" fillId="0" borderId="24" xfId="17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231" fontId="3" fillId="0" borderId="29" xfId="17" applyNumberFormat="1" applyFont="1" applyBorder="1" applyAlignment="1">
      <alignment horizontal="center"/>
    </xf>
    <xf numFmtId="194" fontId="3" fillId="0" borderId="29" xfId="1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31" fontId="15" fillId="0" borderId="29" xfId="17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94" fontId="15" fillId="0" borderId="29" xfId="17" applyFont="1" applyBorder="1" applyAlignment="1">
      <alignment horizontal="center"/>
    </xf>
    <xf numFmtId="194" fontId="3" fillId="0" borderId="28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" fontId="3" fillId="0" borderId="31" xfId="0" applyNumberFormat="1" applyFont="1" applyBorder="1" applyAlignment="1" quotePrefix="1">
      <alignment horizontal="center"/>
    </xf>
    <xf numFmtId="0" fontId="15" fillId="0" borderId="22" xfId="0" applyFont="1" applyBorder="1" applyAlignment="1">
      <alignment horizontal="left"/>
    </xf>
    <xf numFmtId="17" fontId="15" fillId="0" borderId="22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194" fontId="15" fillId="0" borderId="27" xfId="17" applyNumberFormat="1" applyFont="1" applyBorder="1" applyAlignment="1">
      <alignment horizontal="center"/>
    </xf>
    <xf numFmtId="17" fontId="3" fillId="0" borderId="32" xfId="0" applyNumberFormat="1" applyFont="1" applyBorder="1" applyAlignment="1" quotePrefix="1">
      <alignment horizontal="center"/>
    </xf>
    <xf numFmtId="194" fontId="3" fillId="0" borderId="33" xfId="17" applyNumberFormat="1" applyFont="1" applyBorder="1" applyAlignment="1">
      <alignment horizontal="center"/>
    </xf>
    <xf numFmtId="194" fontId="3" fillId="0" borderId="10" xfId="17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/>
    </xf>
    <xf numFmtId="194" fontId="3" fillId="0" borderId="0" xfId="17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94" fontId="1" fillId="0" borderId="27" xfId="17" applyFont="1" applyBorder="1" applyAlignment="1">
      <alignment horizontal="center"/>
    </xf>
    <xf numFmtId="194" fontId="1" fillId="0" borderId="24" xfId="17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94" fontId="1" fillId="0" borderId="34" xfId="17" applyFont="1" applyBorder="1" applyAlignment="1">
      <alignment horizontal="center"/>
    </xf>
    <xf numFmtId="194" fontId="1" fillId="0" borderId="10" xfId="17" applyFont="1" applyBorder="1" applyAlignment="1">
      <alignment horizontal="center"/>
    </xf>
    <xf numFmtId="194" fontId="1" fillId="0" borderId="22" xfId="17" applyFont="1" applyBorder="1" applyAlignment="1">
      <alignment horizontal="center"/>
    </xf>
    <xf numFmtId="194" fontId="1" fillId="0" borderId="21" xfId="17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94" fontId="15" fillId="0" borderId="22" xfId="17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7" fontId="1" fillId="0" borderId="36" xfId="0" applyNumberFormat="1" applyFont="1" applyBorder="1" applyAlignment="1" quotePrefix="1">
      <alignment horizontal="center"/>
    </xf>
    <xf numFmtId="194" fontId="1" fillId="0" borderId="25" xfId="17" applyFont="1" applyBorder="1" applyAlignment="1">
      <alignment horizontal="center"/>
    </xf>
    <xf numFmtId="17" fontId="1" fillId="0" borderId="37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left"/>
    </xf>
    <xf numFmtId="0" fontId="1" fillId="0" borderId="38" xfId="0" applyFont="1" applyBorder="1" applyAlignment="1">
      <alignment/>
    </xf>
    <xf numFmtId="194" fontId="1" fillId="0" borderId="39" xfId="17" applyFont="1" applyBorder="1" applyAlignment="1">
      <alignment horizontal="center"/>
    </xf>
    <xf numFmtId="0" fontId="1" fillId="0" borderId="15" xfId="0" applyFont="1" applyBorder="1" applyAlignment="1">
      <alignment/>
    </xf>
    <xf numFmtId="194" fontId="1" fillId="0" borderId="40" xfId="17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4" fontId="1" fillId="0" borderId="41" xfId="17" applyFont="1" applyBorder="1" applyAlignment="1">
      <alignment horizontal="center"/>
    </xf>
    <xf numFmtId="17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4" fontId="15" fillId="0" borderId="10" xfId="17" applyNumberFormat="1" applyFont="1" applyBorder="1" applyAlignment="1">
      <alignment horizontal="center"/>
    </xf>
    <xf numFmtId="0" fontId="15" fillId="0" borderId="0" xfId="0" applyFont="1" applyAlignment="1">
      <alignment/>
    </xf>
    <xf numFmtId="17" fontId="15" fillId="0" borderId="0" xfId="0" applyNumberFormat="1" applyFont="1" applyBorder="1" applyAlignment="1" quotePrefix="1">
      <alignment horizontal="center"/>
    </xf>
    <xf numFmtId="194" fontId="15" fillId="0" borderId="0" xfId="17" applyFont="1" applyBorder="1" applyAlignment="1">
      <alignment horizontal="center"/>
    </xf>
    <xf numFmtId="43" fontId="10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194" fontId="13" fillId="0" borderId="0" xfId="17" applyFont="1" applyBorder="1" applyAlignment="1">
      <alignment horizontal="center"/>
    </xf>
    <xf numFmtId="0" fontId="17" fillId="0" borderId="0" xfId="0" applyFont="1" applyAlignment="1">
      <alignment horizontal="left"/>
    </xf>
    <xf numFmtId="0" fontId="1" fillId="0" borderId="2" xfId="0" applyFont="1" applyBorder="1" applyAlignment="1">
      <alignment/>
    </xf>
    <xf numFmtId="43" fontId="1" fillId="0" borderId="2" xfId="17" applyNumberFormat="1" applyFont="1" applyBorder="1" applyAlignment="1">
      <alignment/>
    </xf>
    <xf numFmtId="43" fontId="1" fillId="0" borderId="10" xfId="17" applyNumberFormat="1" applyFont="1" applyBorder="1" applyAlignment="1">
      <alignment/>
    </xf>
    <xf numFmtId="194" fontId="3" fillId="0" borderId="8" xfId="17" applyNumberFormat="1" applyFont="1" applyBorder="1" applyAlignment="1">
      <alignment/>
    </xf>
    <xf numFmtId="194" fontId="3" fillId="0" borderId="8" xfId="17" applyNumberFormat="1" applyFont="1" applyBorder="1" applyAlignment="1">
      <alignment horizontal="center"/>
    </xf>
    <xf numFmtId="194" fontId="3" fillId="0" borderId="15" xfId="17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2" fillId="0" borderId="42" xfId="0" applyFont="1" applyBorder="1" applyAlignment="1">
      <alignment/>
    </xf>
    <xf numFmtId="0" fontId="21" fillId="0" borderId="1" xfId="0" applyFont="1" applyBorder="1" applyAlignment="1">
      <alignment/>
    </xf>
    <xf numFmtId="0" fontId="19" fillId="0" borderId="9" xfId="0" applyFont="1" applyBorder="1" applyAlignment="1">
      <alignment/>
    </xf>
    <xf numFmtId="0" fontId="17" fillId="0" borderId="9" xfId="0" applyFont="1" applyBorder="1" applyAlignment="1">
      <alignment/>
    </xf>
    <xf numFmtId="194" fontId="16" fillId="0" borderId="2" xfId="17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194" fontId="17" fillId="0" borderId="0" xfId="17" applyFont="1" applyAlignment="1">
      <alignment/>
    </xf>
    <xf numFmtId="19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9" xfId="0" applyFont="1" applyBorder="1" applyAlignment="1">
      <alignment horizontal="left"/>
    </xf>
    <xf numFmtId="43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194" fontId="17" fillId="0" borderId="11" xfId="17" applyFont="1" applyBorder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" xfId="0" applyFont="1" applyBorder="1" applyAlignment="1">
      <alignment/>
    </xf>
    <xf numFmtId="43" fontId="16" fillId="0" borderId="2" xfId="0" applyNumberFormat="1" applyFont="1" applyBorder="1" applyAlignment="1">
      <alignment/>
    </xf>
    <xf numFmtId="194" fontId="17" fillId="0" borderId="1" xfId="17" applyFont="1" applyBorder="1" applyAlignment="1">
      <alignment/>
    </xf>
    <xf numFmtId="43" fontId="17" fillId="0" borderId="2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7" fillId="0" borderId="12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43" fontId="20" fillId="0" borderId="1" xfId="0" applyNumberFormat="1" applyFont="1" applyBorder="1" applyAlignment="1">
      <alignment/>
    </xf>
    <xf numFmtId="194" fontId="20" fillId="0" borderId="0" xfId="17" applyFont="1" applyAlignment="1">
      <alignment/>
    </xf>
    <xf numFmtId="0" fontId="19" fillId="0" borderId="0" xfId="0" applyFont="1" applyAlignment="1">
      <alignment/>
    </xf>
    <xf numFmtId="43" fontId="18" fillId="0" borderId="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2" xfId="0" applyNumberFormat="1" applyFont="1" applyBorder="1" applyAlignment="1" quotePrefix="1">
      <alignment horizontal="center"/>
    </xf>
    <xf numFmtId="49" fontId="1" fillId="0" borderId="2" xfId="0" applyNumberFormat="1" applyFont="1" applyBorder="1" applyAlignment="1">
      <alignment horizontal="center"/>
    </xf>
    <xf numFmtId="194" fontId="1" fillId="0" borderId="2" xfId="17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43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4" fontId="3" fillId="0" borderId="27" xfId="17" applyNumberFormat="1" applyFont="1" applyBorder="1" applyAlignment="1">
      <alignment horizontal="center"/>
    </xf>
    <xf numFmtId="194" fontId="3" fillId="0" borderId="23" xfId="17" applyNumberFormat="1" applyFont="1" applyBorder="1" applyAlignment="1">
      <alignment horizontal="center"/>
    </xf>
    <xf numFmtId="194" fontId="3" fillId="0" borderId="29" xfId="17" applyNumberFormat="1" applyFont="1" applyBorder="1" applyAlignment="1">
      <alignment horizontal="center"/>
    </xf>
    <xf numFmtId="194" fontId="15" fillId="0" borderId="29" xfId="17" applyNumberFormat="1" applyFont="1" applyBorder="1" applyAlignment="1">
      <alignment horizontal="center"/>
    </xf>
    <xf numFmtId="194" fontId="15" fillId="0" borderId="0" xfId="0" applyNumberFormat="1" applyFont="1" applyBorder="1" applyAlignment="1">
      <alignment horizontal="left"/>
    </xf>
    <xf numFmtId="194" fontId="15" fillId="0" borderId="22" xfId="17" applyNumberFormat="1" applyFont="1" applyBorder="1" applyAlignment="1">
      <alignment horizontal="center"/>
    </xf>
    <xf numFmtId="194" fontId="3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194" fontId="7" fillId="0" borderId="44" xfId="17" applyFont="1" applyBorder="1" applyAlignment="1">
      <alignment horizontal="center"/>
    </xf>
    <xf numFmtId="4" fontId="2" fillId="0" borderId="44" xfId="17" applyNumberFormat="1" applyFont="1" applyBorder="1" applyAlignment="1">
      <alignment horizontal="right"/>
    </xf>
    <xf numFmtId="194" fontId="3" fillId="0" borderId="2" xfId="17" applyNumberFormat="1" applyFont="1" applyBorder="1" applyAlignment="1">
      <alignment/>
    </xf>
    <xf numFmtId="194" fontId="16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4" fontId="1" fillId="0" borderId="1" xfId="17" applyFont="1" applyBorder="1" applyAlignment="1">
      <alignment horizontal="center" vertical="center"/>
    </xf>
    <xf numFmtId="194" fontId="1" fillId="0" borderId="12" xfId="17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4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94" fontId="3" fillId="0" borderId="0" xfId="17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32</xdr:row>
      <xdr:rowOff>47625</xdr:rowOff>
    </xdr:from>
    <xdr:to>
      <xdr:col>1</xdr:col>
      <xdr:colOff>2124075</xdr:colOff>
      <xdr:row>33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0210800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32</xdr:row>
      <xdr:rowOff>0</xdr:rowOff>
    </xdr:from>
    <xdr:to>
      <xdr:col>2</xdr:col>
      <xdr:colOff>238125</xdr:colOff>
      <xdr:row>33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10163175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32</xdr:row>
      <xdr:rowOff>28575</xdr:rowOff>
    </xdr:from>
    <xdr:to>
      <xdr:col>4</xdr:col>
      <xdr:colOff>1143000</xdr:colOff>
      <xdr:row>34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AFC"/>
            </a:clrFrom>
            <a:clrTo>
              <a:srgbClr val="FFFAFC">
                <a:alpha val="0"/>
              </a:srgbClr>
            </a:clrTo>
          </a:clrChange>
        </a:blip>
        <a:stretch>
          <a:fillRect/>
        </a:stretch>
      </xdr:blipFill>
      <xdr:spPr>
        <a:xfrm>
          <a:off x="4610100" y="10191750"/>
          <a:ext cx="2266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40</xdr:row>
      <xdr:rowOff>28575</xdr:rowOff>
    </xdr:from>
    <xdr:to>
      <xdr:col>0</xdr:col>
      <xdr:colOff>2000250</xdr:colOff>
      <xdr:row>41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91154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2286000</xdr:colOff>
      <xdr:row>39</xdr:row>
      <xdr:rowOff>76200</xdr:rowOff>
    </xdr:from>
    <xdr:to>
      <xdr:col>1</xdr:col>
      <xdr:colOff>561975</xdr:colOff>
      <xdr:row>41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0FBFF"/>
            </a:clrFrom>
            <a:clrTo>
              <a:srgbClr val="F0FB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0" y="8982075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39</xdr:row>
      <xdr:rowOff>114300</xdr:rowOff>
    </xdr:from>
    <xdr:to>
      <xdr:col>5</xdr:col>
      <xdr:colOff>209550</xdr:colOff>
      <xdr:row>42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14825" y="9020175"/>
          <a:ext cx="2266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74</xdr:row>
      <xdr:rowOff>19050</xdr:rowOff>
    </xdr:from>
    <xdr:to>
      <xdr:col>1</xdr:col>
      <xdr:colOff>1066800</xdr:colOff>
      <xdr:row>74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21755100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73</xdr:row>
      <xdr:rowOff>219075</xdr:rowOff>
    </xdr:from>
    <xdr:to>
      <xdr:col>3</xdr:col>
      <xdr:colOff>1552575</xdr:colOff>
      <xdr:row>74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2169795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1933575</xdr:colOff>
      <xdr:row>73</xdr:row>
      <xdr:rowOff>200025</xdr:rowOff>
    </xdr:from>
    <xdr:to>
      <xdr:col>5</xdr:col>
      <xdr:colOff>1371600</xdr:colOff>
      <xdr:row>75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BFD"/>
            </a:clrFrom>
            <a:clrTo>
              <a:srgbClr val="FFFBFD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21678900"/>
          <a:ext cx="2266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75" zoomScaleNormal="85" zoomScaleSheetLayoutView="75" workbookViewId="0" topLeftCell="A22">
      <selection activeCell="B39" sqref="B39:E39"/>
    </sheetView>
  </sheetViews>
  <sheetFormatPr defaultColWidth="9.140625" defaultRowHeight="12.75"/>
  <cols>
    <col min="1" max="1" width="3.28125" style="190" customWidth="1"/>
    <col min="2" max="2" width="55.00390625" style="190" customWidth="1"/>
    <col min="3" max="3" width="8.421875" style="190" customWidth="1"/>
    <col min="4" max="4" width="19.28125" style="190" customWidth="1"/>
    <col min="5" max="5" width="19.57421875" style="222" customWidth="1"/>
    <col min="6" max="16384" width="9.140625" style="190" customWidth="1"/>
  </cols>
  <sheetData>
    <row r="1" spans="1:5" ht="30" customHeight="1">
      <c r="A1" s="256" t="s">
        <v>114</v>
      </c>
      <c r="B1" s="256"/>
      <c r="C1" s="256"/>
      <c r="D1" s="256"/>
      <c r="E1" s="256"/>
    </row>
    <row r="2" spans="1:5" ht="25.5">
      <c r="A2" s="256" t="s">
        <v>54</v>
      </c>
      <c r="B2" s="256"/>
      <c r="C2" s="256"/>
      <c r="D2" s="256"/>
      <c r="E2" s="256"/>
    </row>
    <row r="3" spans="1:5" ht="27" customHeight="1">
      <c r="A3" s="257" t="s">
        <v>243</v>
      </c>
      <c r="B3" s="257"/>
      <c r="C3" s="257"/>
      <c r="D3" s="257"/>
      <c r="E3" s="257"/>
    </row>
    <row r="4" spans="1:5" ht="24.75" customHeight="1">
      <c r="A4" s="229"/>
      <c r="B4" s="258" t="s">
        <v>55</v>
      </c>
      <c r="C4" s="230" t="s">
        <v>41</v>
      </c>
      <c r="D4" s="260" t="s">
        <v>28</v>
      </c>
      <c r="E4" s="262" t="s">
        <v>291</v>
      </c>
    </row>
    <row r="5" spans="1:5" ht="24.75" customHeight="1">
      <c r="A5" s="231"/>
      <c r="B5" s="259"/>
      <c r="C5" s="232" t="s">
        <v>56</v>
      </c>
      <c r="D5" s="261"/>
      <c r="E5" s="263"/>
    </row>
    <row r="6" spans="1:5" ht="24.75" customHeight="1">
      <c r="A6" s="234"/>
      <c r="B6" s="235" t="s">
        <v>49</v>
      </c>
      <c r="C6" s="236" t="s">
        <v>34</v>
      </c>
      <c r="D6" s="20">
        <v>0</v>
      </c>
      <c r="E6" s="20"/>
    </row>
    <row r="7" spans="1:5" ht="24.75" customHeight="1">
      <c r="A7" s="234"/>
      <c r="B7" s="235" t="s">
        <v>246</v>
      </c>
      <c r="C7" s="236" t="s">
        <v>65</v>
      </c>
      <c r="D7" s="182"/>
      <c r="E7" s="20"/>
    </row>
    <row r="8" spans="1:5" ht="24.75" customHeight="1">
      <c r="A8" s="234"/>
      <c r="B8" s="235" t="s">
        <v>293</v>
      </c>
      <c r="C8" s="236" t="s">
        <v>57</v>
      </c>
      <c r="D8" s="20">
        <f>12038006.64+196293.61-3064411.43+15054+5647.94+2305+928741.71-804338.85+1852.06</f>
        <v>9319150.68</v>
      </c>
      <c r="E8" s="20"/>
    </row>
    <row r="9" spans="1:5" ht="24.75" customHeight="1">
      <c r="A9" s="234"/>
      <c r="B9" s="235" t="s">
        <v>294</v>
      </c>
      <c r="C9" s="236" t="s">
        <v>58</v>
      </c>
      <c r="D9" s="20">
        <f>740824.7+2259175.3</f>
        <v>3000000</v>
      </c>
      <c r="E9" s="20"/>
    </row>
    <row r="10" spans="1:5" ht="24.75" customHeight="1">
      <c r="A10" s="234"/>
      <c r="B10" s="235" t="s">
        <v>118</v>
      </c>
      <c r="C10" s="236" t="s">
        <v>59</v>
      </c>
      <c r="D10" s="20">
        <f>178769.25+267.42</f>
        <v>179036.67</v>
      </c>
      <c r="E10" s="20"/>
    </row>
    <row r="11" spans="1:5" ht="24.75" customHeight="1">
      <c r="A11" s="234"/>
      <c r="B11" s="235" t="s">
        <v>119</v>
      </c>
      <c r="C11" s="237" t="s">
        <v>259</v>
      </c>
      <c r="D11" s="238">
        <f>417648.14+934997.18-423903.61+228508.79-1166487.71+218643.29</f>
        <v>209406.08000000005</v>
      </c>
      <c r="E11" s="20"/>
    </row>
    <row r="12" spans="1:5" ht="24.75" customHeight="1">
      <c r="A12" s="234"/>
      <c r="B12" s="235" t="s">
        <v>120</v>
      </c>
      <c r="C12" s="237" t="s">
        <v>121</v>
      </c>
      <c r="D12" s="238">
        <v>58506.39</v>
      </c>
      <c r="E12" s="20"/>
    </row>
    <row r="13" spans="1:5" ht="24.75" customHeight="1">
      <c r="A13" s="234"/>
      <c r="B13" s="235" t="s">
        <v>64</v>
      </c>
      <c r="C13" s="237" t="s">
        <v>220</v>
      </c>
      <c r="D13" s="25">
        <f>81820-81820+42160</f>
        <v>42160</v>
      </c>
      <c r="E13" s="20"/>
    </row>
    <row r="14" spans="1:5" ht="24.75" customHeight="1">
      <c r="A14" s="234"/>
      <c r="B14" s="235" t="s">
        <v>53</v>
      </c>
      <c r="C14" s="236" t="s">
        <v>141</v>
      </c>
      <c r="D14" s="25">
        <f>1535315.8+6894+76500+67000</f>
        <v>1685709.8</v>
      </c>
      <c r="E14" s="20"/>
    </row>
    <row r="15" spans="1:5" ht="24.75" customHeight="1">
      <c r="A15" s="234"/>
      <c r="B15" s="235" t="s">
        <v>202</v>
      </c>
      <c r="C15" s="237">
        <v>100</v>
      </c>
      <c r="D15" s="25">
        <f>1084070+110176</f>
        <v>1194246</v>
      </c>
      <c r="E15" s="20"/>
    </row>
    <row r="16" spans="1:5" ht="24.75" customHeight="1">
      <c r="A16" s="234"/>
      <c r="B16" s="235" t="s">
        <v>203</v>
      </c>
      <c r="C16" s="237">
        <v>120</v>
      </c>
      <c r="D16" s="25">
        <v>0</v>
      </c>
      <c r="E16" s="20"/>
    </row>
    <row r="17" spans="1:5" ht="24.75" customHeight="1">
      <c r="A17" s="234"/>
      <c r="B17" s="235" t="s">
        <v>204</v>
      </c>
      <c r="C17" s="237">
        <v>130</v>
      </c>
      <c r="D17" s="25">
        <f>705800+78120</f>
        <v>783920</v>
      </c>
      <c r="E17" s="20"/>
    </row>
    <row r="18" spans="1:5" ht="24.75" customHeight="1">
      <c r="A18" s="234"/>
      <c r="B18" s="235" t="s">
        <v>205</v>
      </c>
      <c r="C18" s="237">
        <v>200</v>
      </c>
      <c r="D18" s="25">
        <f>643508+55425</f>
        <v>698933</v>
      </c>
      <c r="E18" s="20"/>
    </row>
    <row r="19" spans="1:5" ht="24.75" customHeight="1">
      <c r="A19" s="234"/>
      <c r="B19" s="235" t="s">
        <v>206</v>
      </c>
      <c r="C19" s="237">
        <v>250</v>
      </c>
      <c r="D19" s="25">
        <f>2139876+26390+380560</f>
        <v>2546826</v>
      </c>
      <c r="E19" s="20"/>
    </row>
    <row r="20" spans="1:5" ht="24.75" customHeight="1">
      <c r="A20" s="234"/>
      <c r="B20" s="235" t="s">
        <v>207</v>
      </c>
      <c r="C20" s="237">
        <v>270</v>
      </c>
      <c r="D20" s="25">
        <f>573673+17400</f>
        <v>591073</v>
      </c>
      <c r="E20" s="20"/>
    </row>
    <row r="21" spans="1:5" ht="24.75" customHeight="1">
      <c r="A21" s="234"/>
      <c r="B21" s="235" t="s">
        <v>209</v>
      </c>
      <c r="C21" s="237">
        <v>300</v>
      </c>
      <c r="D21" s="25">
        <f>128716.57+24096.98</f>
        <v>152813.55000000002</v>
      </c>
      <c r="E21" s="20"/>
    </row>
    <row r="22" spans="1:5" ht="24.75" customHeight="1">
      <c r="A22" s="234"/>
      <c r="B22" s="235" t="s">
        <v>194</v>
      </c>
      <c r="C22" s="237" t="s">
        <v>251</v>
      </c>
      <c r="D22" s="25">
        <f>798100+60000+120000+819100</f>
        <v>1797200</v>
      </c>
      <c r="E22" s="20"/>
    </row>
    <row r="23" spans="1:5" ht="24.75" customHeight="1">
      <c r="A23" s="234"/>
      <c r="B23" s="235" t="s">
        <v>210</v>
      </c>
      <c r="C23" s="237" t="s">
        <v>66</v>
      </c>
      <c r="D23" s="25">
        <f>25000+24000</f>
        <v>49000</v>
      </c>
      <c r="E23" s="20"/>
    </row>
    <row r="24" spans="1:5" ht="24.75" customHeight="1">
      <c r="A24" s="234"/>
      <c r="B24" s="235" t="s">
        <v>211</v>
      </c>
      <c r="C24" s="237" t="s">
        <v>140</v>
      </c>
      <c r="D24" s="25">
        <f>159700+192500+1386103</f>
        <v>1738303</v>
      </c>
      <c r="E24" s="20"/>
    </row>
    <row r="25" spans="1:5" ht="24.75" customHeight="1">
      <c r="A25" s="234"/>
      <c r="B25" s="235" t="s">
        <v>104</v>
      </c>
      <c r="C25" s="237" t="s">
        <v>214</v>
      </c>
      <c r="D25" s="25">
        <f>19800+19800+12560+19800+18800</f>
        <v>90760</v>
      </c>
      <c r="E25" s="20"/>
    </row>
    <row r="26" spans="1:5" ht="24.75" customHeight="1">
      <c r="A26" s="234"/>
      <c r="B26" s="235" t="s">
        <v>62</v>
      </c>
      <c r="C26" s="236" t="s">
        <v>63</v>
      </c>
      <c r="D26" s="239"/>
      <c r="E26" s="20">
        <f>2487182.46-2000-2000-2000-2000-32000-1000</f>
        <v>2446182.46</v>
      </c>
    </row>
    <row r="27" spans="1:5" ht="24.75" customHeight="1">
      <c r="A27" s="234"/>
      <c r="B27" s="235" t="s">
        <v>61</v>
      </c>
      <c r="C27" s="237">
        <v>600</v>
      </c>
      <c r="D27" s="182"/>
      <c r="E27" s="20">
        <v>499500</v>
      </c>
    </row>
    <row r="28" spans="1:5" ht="24.75" customHeight="1">
      <c r="A28" s="234"/>
      <c r="B28" s="235" t="s">
        <v>216</v>
      </c>
      <c r="C28" s="237">
        <v>700</v>
      </c>
      <c r="D28" s="182"/>
      <c r="E28" s="20">
        <f>3083696.04-233180-563354-293000+14-44000-177000</f>
        <v>1773176.04</v>
      </c>
    </row>
    <row r="29" spans="1:5" ht="24.75" customHeight="1">
      <c r="A29" s="234"/>
      <c r="B29" s="235" t="s">
        <v>21</v>
      </c>
      <c r="C29" s="237" t="s">
        <v>60</v>
      </c>
      <c r="D29" s="182"/>
      <c r="E29" s="20">
        <f>15576925.75+231710.98</f>
        <v>15808636.73</v>
      </c>
    </row>
    <row r="30" spans="1:5" ht="24.75" customHeight="1">
      <c r="A30" s="234"/>
      <c r="B30" s="235" t="s">
        <v>218</v>
      </c>
      <c r="C30" s="237">
        <v>900</v>
      </c>
      <c r="D30" s="182"/>
      <c r="E30" s="20">
        <f>478445.34+4366.29-24739</f>
        <v>458072.63</v>
      </c>
    </row>
    <row r="31" spans="1:5" ht="24.75" customHeight="1">
      <c r="A31" s="231"/>
      <c r="B31" s="240" t="s">
        <v>227</v>
      </c>
      <c r="C31" s="241" t="s">
        <v>122</v>
      </c>
      <c r="D31" s="182"/>
      <c r="E31" s="20">
        <v>3151476.31</v>
      </c>
    </row>
    <row r="32" spans="1:5" ht="24.75" customHeight="1" thickBot="1">
      <c r="A32" s="142"/>
      <c r="B32" s="142"/>
      <c r="C32" s="142"/>
      <c r="D32" s="27">
        <f>SUM(D6:D31)</f>
        <v>24137044.17</v>
      </c>
      <c r="E32" s="27">
        <f>SUM(E26:E31)</f>
        <v>24137044.169999998</v>
      </c>
    </row>
    <row r="33" spans="1:5" ht="23.25" thickTop="1">
      <c r="A33" s="142"/>
      <c r="B33" s="142"/>
      <c r="C33" s="142"/>
      <c r="D33" s="233"/>
      <c r="E33" s="17"/>
    </row>
    <row r="34" spans="1:5" s="72" customFormat="1" ht="33.75" customHeight="1">
      <c r="A34" s="71" t="s">
        <v>292</v>
      </c>
      <c r="B34" s="71"/>
      <c r="C34" s="71"/>
      <c r="D34" s="71"/>
      <c r="E34" s="75"/>
    </row>
    <row r="35" spans="1:5" s="72" customFormat="1" ht="21" customHeight="1">
      <c r="A35" s="255" t="s">
        <v>124</v>
      </c>
      <c r="B35" s="255"/>
      <c r="C35" s="255"/>
      <c r="D35" s="255"/>
      <c r="E35" s="255"/>
    </row>
    <row r="36" spans="1:5" s="72" customFormat="1" ht="21" customHeight="1">
      <c r="A36" s="71"/>
      <c r="B36" s="255" t="s">
        <v>123</v>
      </c>
      <c r="C36" s="255"/>
      <c r="D36" s="255"/>
      <c r="E36" s="255"/>
    </row>
    <row r="37" spans="1:5" ht="22.5">
      <c r="A37" s="71"/>
      <c r="B37" s="71"/>
      <c r="C37" s="71"/>
      <c r="D37" s="71"/>
      <c r="E37" s="75"/>
    </row>
    <row r="38" spans="1:5" ht="22.5">
      <c r="A38" s="255"/>
      <c r="B38" s="255"/>
      <c r="C38" s="255"/>
      <c r="D38" s="255"/>
      <c r="E38" s="255"/>
    </row>
    <row r="39" spans="1:5" s="72" customFormat="1" ht="21" customHeight="1">
      <c r="A39" s="71"/>
      <c r="B39" s="255"/>
      <c r="C39" s="255"/>
      <c r="D39" s="255"/>
      <c r="E39" s="255"/>
    </row>
    <row r="40" spans="1:5" s="72" customFormat="1" ht="21" customHeight="1">
      <c r="A40" s="255"/>
      <c r="B40" s="255"/>
      <c r="C40" s="255"/>
      <c r="D40" s="255"/>
      <c r="E40" s="255"/>
    </row>
    <row r="41" spans="1:5" s="72" customFormat="1" ht="21" customHeight="1">
      <c r="A41" s="71"/>
      <c r="B41" s="255"/>
      <c r="C41" s="255"/>
      <c r="D41" s="255"/>
      <c r="E41" s="255"/>
    </row>
    <row r="42" spans="1:5" s="72" customFormat="1" ht="23.25">
      <c r="A42" s="71"/>
      <c r="B42" s="71"/>
      <c r="C42" s="71"/>
      <c r="D42" s="71"/>
      <c r="E42" s="75"/>
    </row>
  </sheetData>
  <mergeCells count="12">
    <mergeCell ref="A1:E1"/>
    <mergeCell ref="A2:E2"/>
    <mergeCell ref="A40:E40"/>
    <mergeCell ref="A3:E3"/>
    <mergeCell ref="B4:B5"/>
    <mergeCell ref="D4:D5"/>
    <mergeCell ref="E4:E5"/>
    <mergeCell ref="B41:E41"/>
    <mergeCell ref="A38:E38"/>
    <mergeCell ref="B39:E39"/>
    <mergeCell ref="A35:E35"/>
    <mergeCell ref="B36:E36"/>
  </mergeCells>
  <printOptions/>
  <pageMargins left="0.7480314960629921" right="0.07874015748031496" top="0.7" bottom="0.8" header="0.1968503937007874" footer="0.07874015748031496"/>
  <pageSetup horizontalDpi="300" verticalDpi="300" orientation="portrait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SheetLayoutView="100" workbookViewId="0" topLeftCell="B103">
      <selection activeCell="B79" sqref="B79"/>
    </sheetView>
  </sheetViews>
  <sheetFormatPr defaultColWidth="9.140625" defaultRowHeight="12.75"/>
  <cols>
    <col min="1" max="1" width="2.421875" style="0" hidden="1" customWidth="1"/>
    <col min="2" max="2" width="47.8515625" style="0" customWidth="1"/>
    <col min="3" max="3" width="6.421875" style="0" customWidth="1"/>
    <col min="4" max="5" width="13.57421875" style="63" customWidth="1"/>
    <col min="6" max="6" width="12.7109375" style="63" customWidth="1"/>
    <col min="7" max="7" width="17.140625" style="0" bestFit="1" customWidth="1"/>
    <col min="8" max="8" width="9.28125" style="0" bestFit="1" customWidth="1"/>
    <col min="10" max="10" width="12.57421875" style="0" customWidth="1"/>
  </cols>
  <sheetData>
    <row r="1" spans="1:6" ht="18" customHeight="1">
      <c r="A1" s="81"/>
      <c r="B1" s="81"/>
      <c r="C1" s="82"/>
      <c r="D1" s="82"/>
      <c r="E1" s="82"/>
      <c r="F1" s="82" t="s">
        <v>143</v>
      </c>
    </row>
    <row r="2" spans="1:6" ht="23.25">
      <c r="A2" s="264" t="s">
        <v>27</v>
      </c>
      <c r="B2" s="264"/>
      <c r="C2" s="264"/>
      <c r="D2" s="264"/>
      <c r="E2" s="264"/>
      <c r="F2" s="264"/>
    </row>
    <row r="3" spans="1:6" ht="23.25">
      <c r="A3" s="265" t="s">
        <v>267</v>
      </c>
      <c r="B3" s="265"/>
      <c r="C3" s="265"/>
      <c r="D3" s="265"/>
      <c r="E3" s="265"/>
      <c r="F3" s="265"/>
    </row>
    <row r="4" spans="1:6" ht="23.25">
      <c r="A4" s="265" t="s">
        <v>239</v>
      </c>
      <c r="B4" s="265"/>
      <c r="C4" s="265"/>
      <c r="D4" s="265"/>
      <c r="E4" s="265"/>
      <c r="F4" s="265"/>
    </row>
    <row r="5" spans="1:11" ht="22.5">
      <c r="A5" s="85"/>
      <c r="B5" s="86"/>
      <c r="C5" s="155" t="s">
        <v>265</v>
      </c>
      <c r="D5" s="87" t="s">
        <v>39</v>
      </c>
      <c r="E5" s="88" t="s">
        <v>270</v>
      </c>
      <c r="F5" s="89" t="s">
        <v>271</v>
      </c>
      <c r="G5" s="101"/>
      <c r="H5" s="102"/>
      <c r="I5" s="103"/>
      <c r="J5" s="103"/>
      <c r="K5" s="103"/>
    </row>
    <row r="6" spans="1:11" ht="23.25" customHeight="1">
      <c r="A6" s="91"/>
      <c r="B6" s="92" t="s">
        <v>268</v>
      </c>
      <c r="C6" s="93"/>
      <c r="D6" s="94"/>
      <c r="E6" s="94"/>
      <c r="F6" s="95"/>
      <c r="G6" s="101"/>
      <c r="H6" s="102"/>
      <c r="I6" s="103"/>
      <c r="J6" s="103"/>
      <c r="K6" s="103"/>
    </row>
    <row r="7" spans="1:11" ht="21" customHeight="1">
      <c r="A7" s="91"/>
      <c r="B7" s="98" t="s">
        <v>269</v>
      </c>
      <c r="C7" s="99" t="s">
        <v>46</v>
      </c>
      <c r="D7" s="100"/>
      <c r="E7" s="100"/>
      <c r="F7" s="100"/>
      <c r="G7" s="122"/>
      <c r="H7" s="63"/>
      <c r="I7" s="103"/>
      <c r="J7" s="103"/>
      <c r="K7" s="103"/>
    </row>
    <row r="8" spans="1:11" ht="22.5" customHeight="1">
      <c r="A8" s="91"/>
      <c r="B8" s="104" t="s">
        <v>273</v>
      </c>
      <c r="C8" s="99" t="s">
        <v>128</v>
      </c>
      <c r="D8" s="243">
        <v>0</v>
      </c>
      <c r="E8" s="100">
        <v>0</v>
      </c>
      <c r="F8" s="100">
        <v>0</v>
      </c>
      <c r="G8" s="122"/>
      <c r="H8" s="63"/>
      <c r="I8" s="103"/>
      <c r="J8" s="103"/>
      <c r="K8" s="103"/>
    </row>
    <row r="9" spans="1:11" ht="26.25" customHeight="1">
      <c r="A9" s="91"/>
      <c r="B9" s="104" t="s">
        <v>274</v>
      </c>
      <c r="C9" s="99" t="s">
        <v>129</v>
      </c>
      <c r="D9" s="243">
        <v>62552</v>
      </c>
      <c r="E9" s="100">
        <f>817.02+494.84+3013.54+5758.3+5325.76+5467.27+4539.89+2299.76+9570.17+6515.69+1350.13</f>
        <v>45152.37</v>
      </c>
      <c r="F9" s="100">
        <v>1350.13</v>
      </c>
      <c r="G9" s="124"/>
      <c r="H9" s="74"/>
      <c r="I9" s="113"/>
      <c r="J9" s="113"/>
      <c r="K9" s="113"/>
    </row>
    <row r="10" spans="1:6" ht="22.5">
      <c r="A10" s="91"/>
      <c r="B10" s="104" t="s">
        <v>275</v>
      </c>
      <c r="C10" s="99" t="s">
        <v>130</v>
      </c>
      <c r="D10" s="243">
        <v>0</v>
      </c>
      <c r="E10" s="100">
        <v>0</v>
      </c>
      <c r="F10" s="100">
        <v>0</v>
      </c>
    </row>
    <row r="11" spans="1:6" ht="20.25">
      <c r="A11" s="106"/>
      <c r="B11" s="107" t="s">
        <v>276</v>
      </c>
      <c r="C11" s="108" t="s">
        <v>272</v>
      </c>
      <c r="D11" s="136">
        <v>0</v>
      </c>
      <c r="E11" s="110">
        <v>0</v>
      </c>
      <c r="F11" s="110">
        <v>0</v>
      </c>
    </row>
    <row r="12" spans="1:6" ht="23.25">
      <c r="A12" s="91"/>
      <c r="B12" s="114" t="s">
        <v>139</v>
      </c>
      <c r="C12" s="99"/>
      <c r="D12" s="115">
        <f>SUM(D8:D11)</f>
        <v>62552</v>
      </c>
      <c r="E12" s="115">
        <f>SUM(E8:E11)</f>
        <v>45152.37</v>
      </c>
      <c r="F12" s="116">
        <f>SUM(F8:F11)</f>
        <v>1350.13</v>
      </c>
    </row>
    <row r="13" spans="1:6" ht="23.25">
      <c r="A13" s="91"/>
      <c r="B13" s="98" t="s">
        <v>277</v>
      </c>
      <c r="C13" s="99" t="s">
        <v>48</v>
      </c>
      <c r="D13" s="244"/>
      <c r="E13" s="117"/>
      <c r="F13" s="118"/>
    </row>
    <row r="14" spans="1:6" ht="22.5">
      <c r="A14" s="91"/>
      <c r="B14" s="107" t="s">
        <v>282</v>
      </c>
      <c r="C14" s="99" t="s">
        <v>279</v>
      </c>
      <c r="D14" s="245"/>
      <c r="E14" s="121"/>
      <c r="F14" s="100"/>
    </row>
    <row r="15" spans="1:6" ht="20.25">
      <c r="A15" s="106"/>
      <c r="B15" s="107" t="s">
        <v>281</v>
      </c>
      <c r="C15" s="108"/>
      <c r="D15" s="246">
        <v>0</v>
      </c>
      <c r="E15" s="123">
        <v>0</v>
      </c>
      <c r="F15" s="109">
        <v>0</v>
      </c>
    </row>
    <row r="16" spans="1:6" ht="21" customHeight="1">
      <c r="A16" s="106"/>
      <c r="B16" s="107" t="s">
        <v>283</v>
      </c>
      <c r="C16" s="108"/>
      <c r="D16" s="246">
        <v>0</v>
      </c>
      <c r="E16" s="123">
        <v>0</v>
      </c>
      <c r="F16" s="109">
        <v>0</v>
      </c>
    </row>
    <row r="17" spans="1:6" ht="20.25">
      <c r="A17" s="106"/>
      <c r="B17" s="107" t="s">
        <v>157</v>
      </c>
      <c r="C17" s="108" t="s">
        <v>280</v>
      </c>
      <c r="D17" s="246">
        <v>0</v>
      </c>
      <c r="E17" s="123">
        <v>0</v>
      </c>
      <c r="F17" s="109">
        <v>0</v>
      </c>
    </row>
    <row r="18" spans="1:6" ht="20.25">
      <c r="A18" s="106"/>
      <c r="B18" s="107" t="s">
        <v>158</v>
      </c>
      <c r="C18" s="108" t="s">
        <v>278</v>
      </c>
      <c r="D18" s="246">
        <v>0</v>
      </c>
      <c r="E18" s="123">
        <v>0</v>
      </c>
      <c r="F18" s="109">
        <v>0</v>
      </c>
    </row>
    <row r="19" spans="1:6" ht="20.25">
      <c r="A19" s="106"/>
      <c r="B19" s="107" t="s">
        <v>178</v>
      </c>
      <c r="C19" s="108" t="s">
        <v>177</v>
      </c>
      <c r="D19" s="246">
        <v>0</v>
      </c>
      <c r="E19" s="123">
        <v>0</v>
      </c>
      <c r="F19" s="109">
        <v>0</v>
      </c>
    </row>
    <row r="20" spans="1:6" ht="20.25">
      <c r="A20" s="106"/>
      <c r="B20" s="107" t="s">
        <v>179</v>
      </c>
      <c r="C20" s="108" t="s">
        <v>176</v>
      </c>
      <c r="D20" s="246">
        <v>0</v>
      </c>
      <c r="E20" s="123">
        <v>0</v>
      </c>
      <c r="F20" s="109">
        <v>0</v>
      </c>
    </row>
    <row r="21" spans="1:6" ht="22.5">
      <c r="A21" s="91"/>
      <c r="B21" s="104" t="s">
        <v>180</v>
      </c>
      <c r="C21" s="99" t="s">
        <v>135</v>
      </c>
      <c r="D21" s="245">
        <v>0</v>
      </c>
      <c r="E21" s="121">
        <v>0</v>
      </c>
      <c r="F21" s="100">
        <v>0</v>
      </c>
    </row>
    <row r="22" spans="1:6" ht="22.5">
      <c r="A22" s="91"/>
      <c r="B22" s="104" t="s">
        <v>181</v>
      </c>
      <c r="C22" s="99" t="s">
        <v>284</v>
      </c>
      <c r="D22" s="245">
        <v>0</v>
      </c>
      <c r="E22" s="120">
        <v>0</v>
      </c>
      <c r="F22" s="105">
        <v>0</v>
      </c>
    </row>
    <row r="23" spans="1:6" ht="23.25">
      <c r="A23" s="91"/>
      <c r="B23" s="114" t="s">
        <v>139</v>
      </c>
      <c r="C23" s="99"/>
      <c r="D23" s="115">
        <f>SUM(D15:D22)</f>
        <v>0</v>
      </c>
      <c r="E23" s="115">
        <f>SUM(E15:E22)</f>
        <v>0</v>
      </c>
      <c r="F23" s="116">
        <v>0</v>
      </c>
    </row>
    <row r="24" spans="1:6" ht="23.25">
      <c r="A24" s="91"/>
      <c r="B24" s="98" t="s">
        <v>285</v>
      </c>
      <c r="C24" s="99" t="s">
        <v>23</v>
      </c>
      <c r="D24" s="245"/>
      <c r="E24" s="121"/>
      <c r="F24" s="100"/>
    </row>
    <row r="25" spans="1:6" ht="20.25">
      <c r="A25" s="106"/>
      <c r="B25" s="107" t="s">
        <v>162</v>
      </c>
      <c r="C25" s="108" t="s">
        <v>161</v>
      </c>
      <c r="D25" s="246">
        <v>0</v>
      </c>
      <c r="E25" s="125">
        <v>0</v>
      </c>
      <c r="F25" s="110">
        <v>0</v>
      </c>
    </row>
    <row r="26" spans="1:6" ht="22.5">
      <c r="A26" s="91"/>
      <c r="B26" s="104" t="s">
        <v>163</v>
      </c>
      <c r="C26" s="99" t="s">
        <v>127</v>
      </c>
      <c r="D26" s="245">
        <v>0</v>
      </c>
      <c r="E26" s="121">
        <v>0</v>
      </c>
      <c r="F26" s="100">
        <v>0</v>
      </c>
    </row>
    <row r="27" spans="1:6" ht="19.5" customHeight="1">
      <c r="A27" s="91"/>
      <c r="B27" s="104" t="s">
        <v>164</v>
      </c>
      <c r="C27" s="99" t="s">
        <v>136</v>
      </c>
      <c r="D27" s="245">
        <v>66600</v>
      </c>
      <c r="E27" s="121">
        <f>1852.06+5647.94+11491.36+1852.06+7500+5647.94+1852.06</f>
        <v>35843.42</v>
      </c>
      <c r="F27" s="100">
        <v>1852.06</v>
      </c>
    </row>
    <row r="28" spans="1:6" ht="22.5">
      <c r="A28" s="91"/>
      <c r="B28" s="104" t="s">
        <v>165</v>
      </c>
      <c r="C28" s="99" t="s">
        <v>166</v>
      </c>
      <c r="D28" s="245">
        <v>0</v>
      </c>
      <c r="E28" s="121">
        <v>0</v>
      </c>
      <c r="F28" s="100">
        <v>0</v>
      </c>
    </row>
    <row r="29" spans="1:6" ht="23.25">
      <c r="A29" s="91"/>
      <c r="B29" s="114" t="s">
        <v>139</v>
      </c>
      <c r="C29" s="99"/>
      <c r="D29" s="115">
        <f>SUM(D25:D28)</f>
        <v>66600</v>
      </c>
      <c r="E29" s="115">
        <f>SUM(E25:E28)</f>
        <v>35843.42</v>
      </c>
      <c r="F29" s="116">
        <f>SUM(F25:F28)</f>
        <v>1852.06</v>
      </c>
    </row>
    <row r="30" spans="1:6" ht="22.5">
      <c r="A30" s="145"/>
      <c r="B30" s="135" t="s">
        <v>286</v>
      </c>
      <c r="C30" s="99" t="s">
        <v>26</v>
      </c>
      <c r="D30" s="245"/>
      <c r="E30" s="121"/>
      <c r="F30" s="100"/>
    </row>
    <row r="31" spans="1:6" ht="20.25">
      <c r="A31" s="106"/>
      <c r="B31" s="107" t="s">
        <v>288</v>
      </c>
      <c r="C31" s="108" t="s">
        <v>287</v>
      </c>
      <c r="D31" s="246">
        <v>0</v>
      </c>
      <c r="E31" s="125">
        <v>0</v>
      </c>
      <c r="F31" s="110">
        <v>0</v>
      </c>
    </row>
    <row r="32" spans="1:6" ht="20.25">
      <c r="A32" s="106"/>
      <c r="B32" s="107" t="s">
        <v>159</v>
      </c>
      <c r="C32" s="108" t="s">
        <v>160</v>
      </c>
      <c r="D32" s="246">
        <v>0</v>
      </c>
      <c r="E32" s="125">
        <v>0</v>
      </c>
      <c r="F32" s="110">
        <v>0</v>
      </c>
    </row>
    <row r="33" spans="1:6" ht="21" customHeight="1">
      <c r="A33" s="91"/>
      <c r="B33" s="114" t="s">
        <v>139</v>
      </c>
      <c r="C33" s="99"/>
      <c r="D33" s="115">
        <v>0</v>
      </c>
      <c r="E33" s="126">
        <v>0</v>
      </c>
      <c r="F33" s="127">
        <v>0</v>
      </c>
    </row>
    <row r="34" spans="1:6" ht="21" customHeight="1">
      <c r="A34" s="91"/>
      <c r="B34" s="98" t="s">
        <v>2</v>
      </c>
      <c r="C34" s="99" t="s">
        <v>189</v>
      </c>
      <c r="D34" s="245"/>
      <c r="E34" s="121"/>
      <c r="F34" s="100"/>
    </row>
    <row r="35" spans="1:6" ht="20.25">
      <c r="A35" s="106"/>
      <c r="B35" s="107" t="s">
        <v>4</v>
      </c>
      <c r="C35" s="108" t="s">
        <v>6</v>
      </c>
      <c r="D35" s="246">
        <v>0</v>
      </c>
      <c r="E35" s="125">
        <v>0</v>
      </c>
      <c r="F35" s="110">
        <v>0</v>
      </c>
    </row>
    <row r="36" spans="1:6" ht="20.25" customHeight="1">
      <c r="A36" s="91"/>
      <c r="B36" s="104" t="s">
        <v>5</v>
      </c>
      <c r="C36" s="99" t="s">
        <v>137</v>
      </c>
      <c r="D36" s="245">
        <v>0</v>
      </c>
      <c r="E36" s="121">
        <v>0</v>
      </c>
      <c r="F36" s="100">
        <v>0</v>
      </c>
    </row>
    <row r="37" spans="1:6" ht="21" customHeight="1">
      <c r="A37" s="91"/>
      <c r="B37" s="104" t="s">
        <v>3</v>
      </c>
      <c r="C37" s="99" t="s">
        <v>138</v>
      </c>
      <c r="D37" s="245">
        <v>16500</v>
      </c>
      <c r="E37" s="121">
        <f>100+0.99+100+0.5+3</f>
        <v>204.49</v>
      </c>
      <c r="F37" s="100">
        <v>0</v>
      </c>
    </row>
    <row r="38" spans="1:6" ht="23.25">
      <c r="A38" s="128"/>
      <c r="B38" s="129" t="s">
        <v>139</v>
      </c>
      <c r="C38" s="130"/>
      <c r="D38" s="115">
        <f>SUM(D35:D37)</f>
        <v>16500</v>
      </c>
      <c r="E38" s="126">
        <f>SUM(E35:E37)</f>
        <v>204.49</v>
      </c>
      <c r="F38" s="127">
        <f>SUM(F35:F37)</f>
        <v>0</v>
      </c>
    </row>
    <row r="39" spans="1:6" ht="23.25">
      <c r="A39" s="96"/>
      <c r="B39" s="84"/>
      <c r="C39" s="102"/>
      <c r="D39" s="293"/>
      <c r="E39" s="3"/>
      <c r="F39" s="3"/>
    </row>
    <row r="40" spans="1:6" ht="23.25">
      <c r="A40" s="96"/>
      <c r="B40" s="84"/>
      <c r="C40" s="102"/>
      <c r="D40" s="293"/>
      <c r="E40" s="3"/>
      <c r="F40" s="3"/>
    </row>
    <row r="41" spans="1:6" ht="20.25">
      <c r="A41" s="111"/>
      <c r="B41" s="153"/>
      <c r="C41" s="166" t="s">
        <v>199</v>
      </c>
      <c r="D41" s="247"/>
      <c r="E41" s="153"/>
      <c r="F41" s="153"/>
    </row>
    <row r="42" spans="1:6" ht="20.25">
      <c r="A42" s="111"/>
      <c r="B42" s="131"/>
      <c r="C42" s="132"/>
      <c r="D42" s="248"/>
      <c r="E42" s="154"/>
      <c r="F42" s="154"/>
    </row>
    <row r="43" spans="1:6" ht="23.25">
      <c r="A43" s="133"/>
      <c r="B43" s="134"/>
      <c r="C43" s="155" t="s">
        <v>265</v>
      </c>
      <c r="D43" s="249" t="s">
        <v>39</v>
      </c>
      <c r="E43" s="88" t="s">
        <v>270</v>
      </c>
      <c r="F43" s="89" t="s">
        <v>271</v>
      </c>
    </row>
    <row r="44" spans="1:6" ht="18" customHeight="1">
      <c r="A44" s="91"/>
      <c r="B44" s="98" t="s">
        <v>7</v>
      </c>
      <c r="C44" s="99" t="s">
        <v>191</v>
      </c>
      <c r="D44" s="245"/>
      <c r="E44" s="121"/>
      <c r="F44" s="100"/>
    </row>
    <row r="45" spans="1:6" ht="18" customHeight="1">
      <c r="A45" s="106"/>
      <c r="B45" s="107" t="s">
        <v>9</v>
      </c>
      <c r="C45" s="108" t="s">
        <v>8</v>
      </c>
      <c r="D45" s="246">
        <v>0</v>
      </c>
      <c r="E45" s="125">
        <v>0</v>
      </c>
      <c r="F45" s="110">
        <v>0</v>
      </c>
    </row>
    <row r="46" spans="1:6" ht="23.25">
      <c r="A46" s="91"/>
      <c r="B46" s="114" t="s">
        <v>139</v>
      </c>
      <c r="C46" s="99"/>
      <c r="D46" s="115">
        <v>0</v>
      </c>
      <c r="E46" s="126">
        <v>0</v>
      </c>
      <c r="F46" s="127">
        <v>0</v>
      </c>
    </row>
    <row r="47" spans="1:6" ht="23.25">
      <c r="A47" s="91"/>
      <c r="B47" s="135" t="s">
        <v>10</v>
      </c>
      <c r="C47" s="99"/>
      <c r="D47" s="245"/>
      <c r="E47" s="121"/>
      <c r="F47" s="100"/>
    </row>
    <row r="48" spans="1:6" ht="23.25">
      <c r="A48" s="91"/>
      <c r="B48" s="98" t="s">
        <v>269</v>
      </c>
      <c r="C48" s="99" t="s">
        <v>193</v>
      </c>
      <c r="D48" s="245"/>
      <c r="E48" s="121"/>
      <c r="F48" s="100"/>
    </row>
    <row r="49" spans="1:6" ht="20.25">
      <c r="A49" s="106"/>
      <c r="B49" s="107" t="s">
        <v>11</v>
      </c>
      <c r="C49" s="108" t="s">
        <v>131</v>
      </c>
      <c r="D49" s="136">
        <v>0</v>
      </c>
      <c r="E49" s="110">
        <v>0</v>
      </c>
      <c r="F49" s="110">
        <v>0</v>
      </c>
    </row>
    <row r="50" spans="1:6" ht="22.5">
      <c r="A50" s="91"/>
      <c r="B50" s="104" t="s">
        <v>12</v>
      </c>
      <c r="C50" s="99" t="s">
        <v>132</v>
      </c>
      <c r="D50" s="243">
        <v>4590642</v>
      </c>
      <c r="E50" s="110">
        <f>716049.09+74881.04+807277.72+80665+58177.72+838573.15+52105.72+858381.5+62891.13+772067.76+54416.3</f>
        <v>4375486.13</v>
      </c>
      <c r="F50" s="100">
        <v>54416.3</v>
      </c>
    </row>
    <row r="51" spans="1:6" ht="20.25">
      <c r="A51" s="106"/>
      <c r="B51" s="107" t="s">
        <v>167</v>
      </c>
      <c r="C51" s="108" t="s">
        <v>168</v>
      </c>
      <c r="D51" s="136">
        <v>0</v>
      </c>
      <c r="E51" s="110">
        <v>0</v>
      </c>
      <c r="F51" s="110">
        <v>0</v>
      </c>
    </row>
    <row r="52" spans="1:6" ht="22.5">
      <c r="A52" s="91"/>
      <c r="B52" s="104" t="s">
        <v>169</v>
      </c>
      <c r="C52" s="99" t="s">
        <v>13</v>
      </c>
      <c r="D52" s="243">
        <v>8800</v>
      </c>
      <c r="E52" s="100">
        <v>6255.47</v>
      </c>
      <c r="F52" s="100">
        <v>0</v>
      </c>
    </row>
    <row r="53" spans="1:6" ht="22.5">
      <c r="A53" s="91"/>
      <c r="B53" s="104" t="s">
        <v>170</v>
      </c>
      <c r="C53" s="99" t="s">
        <v>133</v>
      </c>
      <c r="D53" s="243">
        <v>333825</v>
      </c>
      <c r="E53" s="100">
        <f>34189.03+36188.27+44126.7+49494.37+42897.53+43212.64+56101.09+41673.77+34785.41+42293.71+37762.88</f>
        <v>462725.4000000001</v>
      </c>
      <c r="F53" s="100">
        <v>37762.88</v>
      </c>
    </row>
    <row r="54" spans="1:6" ht="22.5">
      <c r="A54" s="91"/>
      <c r="B54" s="104" t="s">
        <v>171</v>
      </c>
      <c r="C54" s="99" t="s">
        <v>134</v>
      </c>
      <c r="D54" s="243">
        <v>713800</v>
      </c>
      <c r="E54" s="100">
        <f>99997.3+113711.82+103895.12+118473.89+119222.85+105483.21+121587.93+127057.97+106939.6+114380.24+117226.9</f>
        <v>1247976.8299999998</v>
      </c>
      <c r="F54" s="100">
        <v>117226.9</v>
      </c>
    </row>
    <row r="55" spans="1:6" ht="22.5">
      <c r="A55" s="91"/>
      <c r="B55" s="104" t="s">
        <v>172</v>
      </c>
      <c r="C55" s="99" t="s">
        <v>14</v>
      </c>
      <c r="D55" s="243">
        <v>11361</v>
      </c>
      <c r="E55" s="100">
        <f>3811.15+6899.72+10856.8</f>
        <v>21567.67</v>
      </c>
      <c r="F55" s="100">
        <v>10856.8</v>
      </c>
    </row>
    <row r="56" spans="1:6" ht="22.5">
      <c r="A56" s="91"/>
      <c r="B56" s="104" t="s">
        <v>173</v>
      </c>
      <c r="C56" s="99" t="s">
        <v>15</v>
      </c>
      <c r="D56" s="243">
        <v>26500</v>
      </c>
      <c r="E56" s="100">
        <f>5140.21+5774.95+6177.88+8245.91</f>
        <v>25338.95</v>
      </c>
      <c r="F56" s="100">
        <v>8245.91</v>
      </c>
    </row>
    <row r="57" spans="1:6" ht="22.5">
      <c r="A57" s="91"/>
      <c r="B57" s="104" t="s">
        <v>174</v>
      </c>
      <c r="C57" s="99" t="s">
        <v>16</v>
      </c>
      <c r="D57" s="243">
        <v>0</v>
      </c>
      <c r="E57" s="100">
        <f>8+32</f>
        <v>40</v>
      </c>
      <c r="F57" s="100">
        <v>0</v>
      </c>
    </row>
    <row r="58" spans="1:6" ht="20.25">
      <c r="A58" s="106"/>
      <c r="B58" s="107" t="s">
        <v>175</v>
      </c>
      <c r="C58" s="108" t="s">
        <v>17</v>
      </c>
      <c r="D58" s="136">
        <v>0</v>
      </c>
      <c r="E58" s="110">
        <v>0</v>
      </c>
      <c r="F58" s="110">
        <v>0</v>
      </c>
    </row>
    <row r="59" spans="1:6" ht="23.25">
      <c r="A59" s="91"/>
      <c r="B59" s="114" t="s">
        <v>139</v>
      </c>
      <c r="C59" s="99"/>
      <c r="D59" s="115">
        <f>SUM(D49:D58)</f>
        <v>5684928</v>
      </c>
      <c r="E59" s="115">
        <f>SUM(E49:E58)</f>
        <v>6139390.45</v>
      </c>
      <c r="F59" s="116">
        <f>SUM(F49:F58)</f>
        <v>228508.78999999998</v>
      </c>
    </row>
    <row r="60" spans="1:6" ht="23.25">
      <c r="A60" s="91"/>
      <c r="B60" s="135" t="s">
        <v>18</v>
      </c>
      <c r="C60" s="99"/>
      <c r="D60" s="243"/>
      <c r="E60" s="100"/>
      <c r="F60" s="100"/>
    </row>
    <row r="61" spans="1:6" ht="23.25">
      <c r="A61" s="91"/>
      <c r="B61" s="135" t="s">
        <v>19</v>
      </c>
      <c r="C61" s="99" t="s">
        <v>195</v>
      </c>
      <c r="D61" s="243"/>
      <c r="E61" s="100"/>
      <c r="F61" s="100"/>
    </row>
    <row r="62" spans="1:6" ht="20.25">
      <c r="A62" s="106"/>
      <c r="B62" s="107" t="s">
        <v>148</v>
      </c>
      <c r="C62" s="108" t="s">
        <v>150</v>
      </c>
      <c r="D62" s="136">
        <v>0</v>
      </c>
      <c r="E62" s="110">
        <v>0</v>
      </c>
      <c r="F62" s="110">
        <v>0</v>
      </c>
    </row>
    <row r="63" spans="1:6" ht="22.5">
      <c r="A63" s="91"/>
      <c r="B63" s="104" t="s">
        <v>149</v>
      </c>
      <c r="C63" s="99" t="s">
        <v>266</v>
      </c>
      <c r="D63" s="243">
        <v>6953220</v>
      </c>
      <c r="E63" s="136">
        <f>1529133+5770810</f>
        <v>7299943</v>
      </c>
      <c r="F63" s="110">
        <v>0</v>
      </c>
    </row>
    <row r="64" spans="1:6" ht="20.25">
      <c r="A64" s="106"/>
      <c r="B64" s="107" t="s">
        <v>151</v>
      </c>
      <c r="C64" s="108" t="s">
        <v>152</v>
      </c>
      <c r="D64" s="136">
        <v>0</v>
      </c>
      <c r="E64" s="110">
        <v>0</v>
      </c>
      <c r="F64" s="110">
        <v>0</v>
      </c>
    </row>
    <row r="65" spans="1:6" ht="23.25">
      <c r="A65" s="91"/>
      <c r="B65" s="114" t="s">
        <v>139</v>
      </c>
      <c r="C65" s="99"/>
      <c r="D65" s="115">
        <f>SUM(D62:D64)</f>
        <v>6953220</v>
      </c>
      <c r="E65" s="115">
        <f>SUM(E62:E64)</f>
        <v>7299943</v>
      </c>
      <c r="F65" s="116">
        <f>SUM(F62:F64)</f>
        <v>0</v>
      </c>
    </row>
    <row r="66" spans="1:6" ht="24" thickBot="1">
      <c r="A66" s="128"/>
      <c r="B66" s="129" t="s">
        <v>198</v>
      </c>
      <c r="C66" s="137"/>
      <c r="D66" s="138">
        <f>SUM(D65+D59+D46+D38+D33+D29+D23+D12)</f>
        <v>12783800</v>
      </c>
      <c r="E66" s="138">
        <f>SUM(E65+E59+E46+E38+E33+E29+E23+E12)</f>
        <v>13520533.729999999</v>
      </c>
      <c r="F66" s="139">
        <f>SUM(F65+F59+F46+F38+F33+F29+F23+F12)</f>
        <v>231710.97999999998</v>
      </c>
    </row>
    <row r="67" spans="1:6" ht="24" thickTop="1">
      <c r="A67" s="91"/>
      <c r="B67" s="135" t="s">
        <v>153</v>
      </c>
      <c r="C67" s="99"/>
      <c r="D67" s="243"/>
      <c r="E67" s="100"/>
      <c r="F67" s="100"/>
    </row>
    <row r="68" spans="1:6" ht="23.25">
      <c r="A68" s="91"/>
      <c r="B68" s="135" t="s">
        <v>154</v>
      </c>
      <c r="C68" s="99" t="s">
        <v>197</v>
      </c>
      <c r="D68" s="243"/>
      <c r="E68" s="100"/>
      <c r="F68" s="100"/>
    </row>
    <row r="69" spans="1:6" ht="20.25">
      <c r="A69" s="106"/>
      <c r="B69" s="107" t="s">
        <v>155</v>
      </c>
      <c r="C69" s="108" t="s">
        <v>156</v>
      </c>
      <c r="D69" s="136">
        <v>0</v>
      </c>
      <c r="E69" s="110">
        <v>0</v>
      </c>
      <c r="F69" s="110">
        <v>0</v>
      </c>
    </row>
    <row r="70" spans="1:6" ht="22.5">
      <c r="A70" s="91"/>
      <c r="B70" s="119" t="s">
        <v>228</v>
      </c>
      <c r="C70" s="99" t="s">
        <v>183</v>
      </c>
      <c r="D70" s="243">
        <v>0</v>
      </c>
      <c r="E70" s="100">
        <f>162000+284000+213000+10000+20000+1599103</f>
        <v>2288103</v>
      </c>
      <c r="F70" s="100">
        <v>0</v>
      </c>
    </row>
    <row r="71" spans="1:6" ht="23.25">
      <c r="A71" s="91"/>
      <c r="B71" s="114" t="s">
        <v>139</v>
      </c>
      <c r="C71" s="99"/>
      <c r="D71" s="115">
        <v>0</v>
      </c>
      <c r="E71" s="126">
        <f>SUM(E69:E70)</f>
        <v>2288103</v>
      </c>
      <c r="F71" s="127">
        <f>SUM(F69:F70)</f>
        <v>0</v>
      </c>
    </row>
    <row r="72" spans="1:6" ht="24" thickBot="1">
      <c r="A72" s="128"/>
      <c r="B72" s="129" t="s">
        <v>264</v>
      </c>
      <c r="C72" s="137"/>
      <c r="D72" s="168">
        <f>SUM(D71+D66)</f>
        <v>12783800</v>
      </c>
      <c r="E72" s="139">
        <f>SUM(E71+E66)</f>
        <v>15808636.729999999</v>
      </c>
      <c r="F72" s="139">
        <f>SUM(F71+F66)</f>
        <v>231710.97999999998</v>
      </c>
    </row>
    <row r="73" spans="1:6" ht="23.25" thickTop="1">
      <c r="A73" s="96"/>
      <c r="B73" s="140"/>
      <c r="C73" s="45"/>
      <c r="D73" s="3"/>
      <c r="E73" s="3"/>
      <c r="F73" s="3"/>
    </row>
    <row r="74" spans="2:6" ht="23.25">
      <c r="B74" s="141"/>
      <c r="C74" s="45"/>
      <c r="D74" s="77"/>
      <c r="E74" s="84"/>
      <c r="F74" s="84"/>
    </row>
    <row r="75" spans="2:6" ht="23.25">
      <c r="B75" s="141"/>
      <c r="C75" s="45"/>
      <c r="D75" s="77"/>
      <c r="E75" s="84"/>
      <c r="F75" s="84"/>
    </row>
    <row r="76" spans="2:6" ht="23.25">
      <c r="B76" s="141"/>
      <c r="C76" s="45"/>
      <c r="D76" s="77"/>
      <c r="E76" s="84"/>
      <c r="F76" s="84"/>
    </row>
    <row r="77" spans="2:6" ht="23.25">
      <c r="B77" s="141"/>
      <c r="C77" s="45"/>
      <c r="D77" s="77"/>
      <c r="E77" s="84"/>
      <c r="F77" s="84"/>
    </row>
    <row r="78" spans="1:6" ht="22.5">
      <c r="A78" s="142"/>
      <c r="B78" s="101"/>
      <c r="C78" s="143"/>
      <c r="D78" s="80"/>
      <c r="E78" s="80"/>
      <c r="F78" s="82" t="s">
        <v>248</v>
      </c>
    </row>
    <row r="79" spans="1:6" ht="22.5">
      <c r="A79" s="142"/>
      <c r="B79" s="101"/>
      <c r="C79" s="143"/>
      <c r="D79" s="80"/>
      <c r="E79" s="151"/>
      <c r="F79" s="165"/>
    </row>
    <row r="80" spans="2:6" ht="23.25">
      <c r="B80" s="141" t="s">
        <v>20</v>
      </c>
      <c r="C80" s="87"/>
      <c r="D80" s="159" t="s">
        <v>229</v>
      </c>
      <c r="E80" s="148" t="s">
        <v>230</v>
      </c>
      <c r="F80" s="148" t="s">
        <v>182</v>
      </c>
    </row>
    <row r="81" spans="1:6" ht="22.5" customHeight="1">
      <c r="A81" s="142"/>
      <c r="B81" s="101" t="s">
        <v>185</v>
      </c>
      <c r="C81" s="158"/>
      <c r="D81" s="152">
        <v>75.85</v>
      </c>
      <c r="E81" s="147"/>
      <c r="F81" s="147">
        <f>2141.15+45.9+27.8+169.3+323.5-2384.15+299.2+307.15+255.05+129.2+537.65+366.05+75.85</f>
        <v>2293.6500000000005</v>
      </c>
    </row>
    <row r="82" spans="1:6" ht="22.5" customHeight="1">
      <c r="A82" s="142"/>
      <c r="B82" s="101" t="s">
        <v>184</v>
      </c>
      <c r="C82" s="156"/>
      <c r="D82" s="157">
        <v>91.02</v>
      </c>
      <c r="E82" s="146">
        <v>0</v>
      </c>
      <c r="F82" s="146">
        <f>21707.18+55.08+33.36+203.16+388.2+359.04+368.58+306.06+155.04+645.18+439.26+91.02</f>
        <v>24751.160000000007</v>
      </c>
    </row>
    <row r="83" spans="1:6" ht="22.5" customHeight="1">
      <c r="A83" s="142"/>
      <c r="B83" s="101" t="s">
        <v>186</v>
      </c>
      <c r="C83" s="156"/>
      <c r="D83" s="157">
        <v>0</v>
      </c>
      <c r="E83" s="146">
        <v>8450</v>
      </c>
      <c r="F83" s="146">
        <f>371681.52+2495+40450-34405+34190-23900-148965-8450</f>
        <v>233096.52000000002</v>
      </c>
    </row>
    <row r="84" spans="1:6" ht="22.5" customHeight="1">
      <c r="A84" s="142"/>
      <c r="B84" s="101" t="s">
        <v>187</v>
      </c>
      <c r="C84" s="156"/>
      <c r="D84" s="157">
        <v>4199.42</v>
      </c>
      <c r="E84" s="146">
        <v>16289</v>
      </c>
      <c r="F84" s="146">
        <f>22118.09+173.2-7422.88+3574.24-173.2-3574.24+7075.23-7075.23+7634.49+1680.18-7634.49+5210.64-1680.18+2203.88-5210.64+5469.55-2203.88+2051.98-5469.55+16289-2051.98+4199.42-16289</f>
        <v>18894.630000000005</v>
      </c>
    </row>
    <row r="85" spans="1:6" ht="22.5">
      <c r="A85" s="142"/>
      <c r="B85" s="101" t="s">
        <v>232</v>
      </c>
      <c r="C85" s="156"/>
      <c r="D85" s="157">
        <v>0</v>
      </c>
      <c r="E85" s="146">
        <v>0</v>
      </c>
      <c r="F85" s="146">
        <f>178769.25+267.42</f>
        <v>179036.67</v>
      </c>
    </row>
    <row r="86" spans="1:6" ht="22.5">
      <c r="A86" s="142"/>
      <c r="B86" s="122"/>
      <c r="C86" s="160"/>
      <c r="D86" s="161"/>
      <c r="E86" s="149"/>
      <c r="F86" s="149"/>
    </row>
    <row r="87" spans="1:6" ht="24" thickBot="1">
      <c r="A87" s="142"/>
      <c r="B87" s="83" t="s">
        <v>139</v>
      </c>
      <c r="C87" s="162"/>
      <c r="D87" s="163">
        <f>SUM(D81:D86)</f>
        <v>4366.29</v>
      </c>
      <c r="E87" s="163">
        <f>SUM(E81:E86)</f>
        <v>24739</v>
      </c>
      <c r="F87" s="150">
        <f>SUM(F81:F86)</f>
        <v>458072.63</v>
      </c>
    </row>
    <row r="88" spans="1:6" ht="16.5" customHeight="1" thickTop="1">
      <c r="A88" s="96"/>
      <c r="B88" s="97"/>
      <c r="C88" s="45"/>
      <c r="D88" s="45"/>
      <c r="E88" s="45"/>
      <c r="F88" s="164"/>
    </row>
    <row r="89" spans="1:6" ht="20.25">
      <c r="A89" s="169"/>
      <c r="B89" s="112"/>
      <c r="C89" s="170"/>
      <c r="D89" s="171"/>
      <c r="E89" s="171"/>
      <c r="F89" s="167" t="s">
        <v>249</v>
      </c>
    </row>
    <row r="90" spans="1:6" ht="10.5" customHeight="1">
      <c r="A90" s="169"/>
      <c r="B90" s="112"/>
      <c r="C90" s="170"/>
      <c r="D90" s="171"/>
      <c r="E90" s="171"/>
      <c r="F90" s="171"/>
    </row>
    <row r="91" spans="1:6" ht="23.25">
      <c r="A91" s="111"/>
      <c r="B91" s="141" t="s">
        <v>144</v>
      </c>
      <c r="C91" s="111"/>
      <c r="D91" s="175"/>
      <c r="E91" s="84" t="s">
        <v>30</v>
      </c>
      <c r="F91" s="111"/>
    </row>
    <row r="92" spans="1:6" ht="13.5" customHeight="1">
      <c r="A92" s="111"/>
      <c r="B92" s="175"/>
      <c r="C92" s="111"/>
      <c r="D92" s="111"/>
      <c r="E92" s="111"/>
      <c r="F92" s="111"/>
    </row>
    <row r="93" spans="1:6" ht="23.25">
      <c r="A93" s="111"/>
      <c r="B93" s="97" t="s">
        <v>233</v>
      </c>
      <c r="C93" s="170"/>
      <c r="D93" s="171"/>
      <c r="E93" s="171"/>
      <c r="F93" s="111"/>
    </row>
    <row r="94" spans="1:6" ht="22.5">
      <c r="A94" s="111"/>
      <c r="B94" s="101" t="s">
        <v>102</v>
      </c>
      <c r="C94" s="111"/>
      <c r="D94" s="111"/>
      <c r="E94" s="250">
        <v>499500</v>
      </c>
      <c r="F94" s="111"/>
    </row>
    <row r="95" spans="1:6" ht="24" thickBot="1">
      <c r="A95" s="111"/>
      <c r="B95" s="174" t="s">
        <v>139</v>
      </c>
      <c r="C95" s="177"/>
      <c r="D95" s="171"/>
      <c r="E95" s="252">
        <v>499500</v>
      </c>
      <c r="F95" s="111"/>
    </row>
    <row r="96" spans="1:6" ht="13.5" customHeight="1" thickTop="1">
      <c r="A96" s="111"/>
      <c r="B96" s="174"/>
      <c r="C96" s="177"/>
      <c r="D96" s="171"/>
      <c r="E96" s="180"/>
      <c r="F96" s="111"/>
    </row>
    <row r="97" spans="1:6" ht="12" customHeight="1">
      <c r="A97" s="111"/>
      <c r="B97" s="175"/>
      <c r="C97" s="111"/>
      <c r="D97" s="111"/>
      <c r="E97" s="111"/>
      <c r="F97" s="111"/>
    </row>
    <row r="98" spans="2:6" s="74" customFormat="1" ht="24" customHeight="1">
      <c r="B98" s="141" t="s">
        <v>145</v>
      </c>
      <c r="C98" s="90"/>
      <c r="D98" s="97"/>
      <c r="E98" s="84" t="s">
        <v>30</v>
      </c>
      <c r="F98" s="176"/>
    </row>
    <row r="99" spans="1:6" s="74" customFormat="1" ht="10.5" customHeight="1">
      <c r="A99" s="169"/>
      <c r="B99" s="122"/>
      <c r="C99" s="143"/>
      <c r="D99" s="80"/>
      <c r="E99" s="80"/>
      <c r="F99" s="171"/>
    </row>
    <row r="100" spans="1:6" s="74" customFormat="1" ht="22.5" customHeight="1">
      <c r="A100" s="169"/>
      <c r="B100" s="101" t="s">
        <v>234</v>
      </c>
      <c r="C100" s="143"/>
      <c r="D100" s="80"/>
      <c r="E100" s="80">
        <f>9683-2000-2000-2000-2000-1000</f>
        <v>683</v>
      </c>
      <c r="F100" s="171"/>
    </row>
    <row r="101" spans="1:6" s="74" customFormat="1" ht="22.5" customHeight="1">
      <c r="A101" s="169"/>
      <c r="B101" s="101" t="s">
        <v>257</v>
      </c>
      <c r="C101" s="143"/>
      <c r="D101" s="80"/>
      <c r="E101" s="80">
        <v>11600</v>
      </c>
      <c r="F101" s="171"/>
    </row>
    <row r="102" spans="1:6" s="74" customFormat="1" ht="22.5" customHeight="1">
      <c r="A102" s="169"/>
      <c r="B102" s="101" t="s">
        <v>235</v>
      </c>
      <c r="C102" s="143"/>
      <c r="D102" s="80"/>
      <c r="E102" s="80">
        <v>115360</v>
      </c>
      <c r="F102" s="171"/>
    </row>
    <row r="103" spans="1:6" s="74" customFormat="1" ht="22.5" customHeight="1">
      <c r="A103" s="169"/>
      <c r="B103" s="101" t="s">
        <v>236</v>
      </c>
      <c r="C103" s="143"/>
      <c r="D103" s="80"/>
      <c r="E103" s="80">
        <v>13630</v>
      </c>
      <c r="F103" s="171"/>
    </row>
    <row r="104" spans="1:6" s="74" customFormat="1" ht="22.5" customHeight="1">
      <c r="A104" s="169"/>
      <c r="B104" s="101" t="s">
        <v>237</v>
      </c>
      <c r="C104" s="143"/>
      <c r="D104" s="80"/>
      <c r="E104" s="80">
        <v>20000</v>
      </c>
      <c r="F104" s="171"/>
    </row>
    <row r="105" spans="1:6" s="74" customFormat="1" ht="22.5" customHeight="1">
      <c r="A105" s="169"/>
      <c r="B105" s="101" t="s">
        <v>262</v>
      </c>
      <c r="C105" s="143"/>
      <c r="D105" s="80"/>
      <c r="E105" s="80">
        <f>90690-25403.52</f>
        <v>65286.479999999996</v>
      </c>
      <c r="F105" s="171"/>
    </row>
    <row r="106" spans="1:6" s="74" customFormat="1" ht="22.5" customHeight="1">
      <c r="A106" s="169"/>
      <c r="B106" s="101" t="s">
        <v>263</v>
      </c>
      <c r="C106" s="143"/>
      <c r="D106" s="80"/>
      <c r="E106" s="144">
        <f>2384240.18-333421.2</f>
        <v>2050818.9800000002</v>
      </c>
      <c r="F106" s="171"/>
    </row>
    <row r="107" spans="1:6" s="74" customFormat="1" ht="22.5" customHeight="1">
      <c r="A107" s="169"/>
      <c r="B107" s="101" t="s">
        <v>108</v>
      </c>
      <c r="C107" s="143"/>
      <c r="D107" s="80"/>
      <c r="E107" s="80">
        <v>38784</v>
      </c>
      <c r="F107" s="171"/>
    </row>
    <row r="108" spans="1:6" s="74" customFormat="1" ht="22.5" customHeight="1">
      <c r="A108" s="169"/>
      <c r="B108" s="101" t="s">
        <v>109</v>
      </c>
      <c r="C108" s="143"/>
      <c r="D108" s="80"/>
      <c r="E108" s="80">
        <v>128520</v>
      </c>
      <c r="F108" s="171"/>
    </row>
    <row r="109" spans="1:8" s="74" customFormat="1" ht="22.5" customHeight="1">
      <c r="A109" s="169"/>
      <c r="B109" s="101" t="s">
        <v>110</v>
      </c>
      <c r="C109" s="143"/>
      <c r="D109" s="80"/>
      <c r="E109" s="80">
        <v>1500</v>
      </c>
      <c r="F109" s="171"/>
      <c r="G109" s="172"/>
      <c r="H109" s="173"/>
    </row>
    <row r="110" spans="1:6" s="74" customFormat="1" ht="22.5" customHeight="1" thickBot="1">
      <c r="A110" s="169"/>
      <c r="B110" s="83" t="s">
        <v>139</v>
      </c>
      <c r="C110" s="178"/>
      <c r="D110" s="80"/>
      <c r="E110" s="251">
        <f>SUM(E100:E109)</f>
        <v>2446182.46</v>
      </c>
      <c r="F110" s="180"/>
    </row>
    <row r="111" spans="1:6" s="74" customFormat="1" ht="21" thickTop="1">
      <c r="A111" s="111"/>
      <c r="B111" s="153"/>
      <c r="C111" s="111"/>
      <c r="D111" s="113"/>
      <c r="E111" s="113"/>
      <c r="F111" s="113"/>
    </row>
    <row r="112" spans="1:6" s="74" customFormat="1" ht="20.25">
      <c r="A112" s="111"/>
      <c r="B112" s="153"/>
      <c r="C112" s="111"/>
      <c r="D112" s="113"/>
      <c r="E112" s="113"/>
      <c r="F112" s="113"/>
    </row>
    <row r="113" spans="1:6" s="74" customFormat="1" ht="20.25">
      <c r="A113" s="111"/>
      <c r="B113" s="153"/>
      <c r="C113" s="111"/>
      <c r="D113" s="113"/>
      <c r="E113" s="113"/>
      <c r="F113" s="113"/>
    </row>
    <row r="114" spans="1:6" s="74" customFormat="1" ht="20.25">
      <c r="A114" s="111"/>
      <c r="B114" s="153"/>
      <c r="C114" s="111"/>
      <c r="D114" s="113"/>
      <c r="E114" s="113"/>
      <c r="F114" s="113"/>
    </row>
    <row r="115" spans="1:6" s="74" customFormat="1" ht="20.25">
      <c r="A115" s="111"/>
      <c r="B115" s="153"/>
      <c r="C115" s="111"/>
      <c r="D115" s="113"/>
      <c r="E115" s="113"/>
      <c r="F115" s="113"/>
    </row>
    <row r="116" spans="1:6" s="74" customFormat="1" ht="20.25">
      <c r="A116" s="111"/>
      <c r="B116" s="153"/>
      <c r="C116" s="111"/>
      <c r="D116" s="113"/>
      <c r="E116" s="113"/>
      <c r="F116" s="113"/>
    </row>
  </sheetData>
  <mergeCells count="3">
    <mergeCell ref="A2:F2"/>
    <mergeCell ref="A3:F3"/>
    <mergeCell ref="A4:F4"/>
  </mergeCells>
  <printOptions/>
  <pageMargins left="0.59" right="0.15748031496062992" top="0.18" bottom="0.15748031496062992" header="0.1" footer="0.1181102362204724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SheetLayoutView="100" workbookViewId="0" topLeftCell="A31">
      <selection activeCell="F51" sqref="F51"/>
    </sheetView>
  </sheetViews>
  <sheetFormatPr defaultColWidth="9.140625" defaultRowHeight="12.75"/>
  <cols>
    <col min="1" max="1" width="44.7109375" style="190" customWidth="1"/>
    <col min="2" max="2" width="16.421875" style="190" customWidth="1"/>
    <col min="3" max="3" width="15.57421875" style="190" customWidth="1"/>
    <col min="4" max="4" width="4.00390625" style="190" customWidth="1"/>
    <col min="5" max="5" width="14.8515625" style="190" customWidth="1"/>
    <col min="6" max="6" width="22.28125" style="190" customWidth="1"/>
    <col min="7" max="7" width="15.140625" style="190" bestFit="1" customWidth="1"/>
    <col min="8" max="8" width="18.57421875" style="190" bestFit="1" customWidth="1"/>
    <col min="9" max="16384" width="9.140625" style="190" customWidth="1"/>
  </cols>
  <sheetData>
    <row r="1" spans="1:6" ht="22.5" customHeight="1">
      <c r="A1" s="270" t="s">
        <v>113</v>
      </c>
      <c r="B1" s="270"/>
      <c r="C1" s="270"/>
      <c r="D1" s="270"/>
      <c r="E1" s="270"/>
      <c r="F1" s="189"/>
    </row>
    <row r="2" spans="1:6" s="169" customFormat="1" ht="21.75" customHeight="1">
      <c r="A2" s="270" t="s">
        <v>260</v>
      </c>
      <c r="B2" s="270"/>
      <c r="C2" s="270"/>
      <c r="D2" s="270"/>
      <c r="E2" s="270"/>
      <c r="F2" s="174"/>
    </row>
    <row r="3" spans="1:6" ht="20.25" customHeight="1">
      <c r="A3" s="270" t="s">
        <v>242</v>
      </c>
      <c r="B3" s="270"/>
      <c r="C3" s="270"/>
      <c r="D3" s="270"/>
      <c r="E3" s="270"/>
      <c r="F3" s="189"/>
    </row>
    <row r="4" spans="1:5" s="194" customFormat="1" ht="15.75" customHeight="1">
      <c r="A4" s="266" t="s">
        <v>29</v>
      </c>
      <c r="B4" s="268" t="s">
        <v>39</v>
      </c>
      <c r="C4" s="268" t="s">
        <v>67</v>
      </c>
      <c r="D4" s="192" t="s">
        <v>68</v>
      </c>
      <c r="E4" s="193" t="s">
        <v>69</v>
      </c>
    </row>
    <row r="5" spans="1:5" s="194" customFormat="1" ht="18.75" customHeight="1">
      <c r="A5" s="271"/>
      <c r="B5" s="272"/>
      <c r="C5" s="272"/>
      <c r="D5" s="195" t="s">
        <v>24</v>
      </c>
      <c r="E5" s="196" t="s">
        <v>70</v>
      </c>
    </row>
    <row r="6" spans="1:5" s="194" customFormat="1" ht="16.5" customHeight="1">
      <c r="A6" s="197" t="s">
        <v>71</v>
      </c>
      <c r="B6" s="198"/>
      <c r="C6" s="198"/>
      <c r="D6" s="198"/>
      <c r="E6" s="198"/>
    </row>
    <row r="7" spans="1:6" ht="15.75" customHeight="1">
      <c r="A7" s="199" t="s">
        <v>72</v>
      </c>
      <c r="B7" s="182"/>
      <c r="C7" s="182"/>
      <c r="D7" s="182"/>
      <c r="E7" s="182"/>
      <c r="F7" s="142"/>
    </row>
    <row r="8" spans="1:6" ht="18.75" customHeight="1">
      <c r="A8" s="200" t="s">
        <v>73</v>
      </c>
      <c r="B8" s="201">
        <v>5747480</v>
      </c>
      <c r="C8" s="201">
        <f>851052.44+224781.13+494.84+3013.54+964250.9+5758.3+248633.26+5325.76+226073.05+999635.99+8+4539.89+229794.74+2299.76+1033291.12+9570.17+204648.14+941512.87+229858.92</f>
        <v>6184542.819999999</v>
      </c>
      <c r="D8" s="202" t="s">
        <v>289</v>
      </c>
      <c r="E8" s="201">
        <f>SUM(C8-B8)</f>
        <v>437062.81999999937</v>
      </c>
      <c r="F8" s="142"/>
    </row>
    <row r="9" spans="1:6" ht="18.75" customHeight="1">
      <c r="A9" s="200" t="s">
        <v>74</v>
      </c>
      <c r="B9" s="201">
        <v>0</v>
      </c>
      <c r="C9" s="201">
        <v>0</v>
      </c>
      <c r="D9" s="202" t="s">
        <v>24</v>
      </c>
      <c r="E9" s="201">
        <f aca="true" t="shared" si="0" ref="E9:E14">SUM(C9-B9)</f>
        <v>0</v>
      </c>
      <c r="F9" s="142"/>
    </row>
    <row r="10" spans="1:6" ht="18.75" customHeight="1">
      <c r="A10" s="200" t="s">
        <v>75</v>
      </c>
      <c r="B10" s="201">
        <v>66600</v>
      </c>
      <c r="C10" s="201">
        <f>1852.06+5647.94+11491.36+1852.06+7500+5647.94+1852.06</f>
        <v>35843.42</v>
      </c>
      <c r="D10" s="202" t="s">
        <v>24</v>
      </c>
      <c r="E10" s="201">
        <f t="shared" si="0"/>
        <v>-30756.58</v>
      </c>
      <c r="F10" s="142"/>
    </row>
    <row r="11" spans="1:6" ht="17.25" customHeight="1">
      <c r="A11" s="200" t="s">
        <v>76</v>
      </c>
      <c r="B11" s="201">
        <v>0</v>
      </c>
      <c r="C11" s="201">
        <v>0</v>
      </c>
      <c r="D11" s="202" t="s">
        <v>83</v>
      </c>
      <c r="E11" s="201">
        <f t="shared" si="0"/>
        <v>0</v>
      </c>
      <c r="F11" s="142"/>
    </row>
    <row r="12" spans="1:6" ht="18.75" customHeight="1">
      <c r="A12" s="200" t="s">
        <v>77</v>
      </c>
      <c r="B12" s="201">
        <v>16500</v>
      </c>
      <c r="C12" s="201">
        <f>100+0.99+100+0.5+3</f>
        <v>204.49</v>
      </c>
      <c r="D12" s="202" t="s">
        <v>24</v>
      </c>
      <c r="E12" s="201">
        <f t="shared" si="0"/>
        <v>-16295.51</v>
      </c>
      <c r="F12" s="142"/>
    </row>
    <row r="13" spans="1:6" ht="17.25" customHeight="1">
      <c r="A13" s="200" t="s">
        <v>78</v>
      </c>
      <c r="B13" s="201">
        <v>0</v>
      </c>
      <c r="C13" s="201">
        <v>0</v>
      </c>
      <c r="D13" s="202" t="s">
        <v>83</v>
      </c>
      <c r="E13" s="201">
        <f t="shared" si="0"/>
        <v>0</v>
      </c>
      <c r="F13" s="142"/>
    </row>
    <row r="14" spans="1:6" ht="18.75" customHeight="1">
      <c r="A14" s="200" t="s">
        <v>79</v>
      </c>
      <c r="B14" s="201">
        <v>6953220</v>
      </c>
      <c r="C14" s="201">
        <f>1529133+5770810</f>
        <v>7299943</v>
      </c>
      <c r="D14" s="202" t="s">
        <v>289</v>
      </c>
      <c r="E14" s="201">
        <f t="shared" si="0"/>
        <v>346723</v>
      </c>
      <c r="F14" s="142"/>
    </row>
    <row r="15" spans="1:7" s="206" customFormat="1" ht="6.75" customHeight="1">
      <c r="A15" s="181"/>
      <c r="B15" s="201"/>
      <c r="C15" s="201"/>
      <c r="D15" s="203"/>
      <c r="E15" s="201"/>
      <c r="F15" s="204"/>
      <c r="G15" s="205"/>
    </row>
    <row r="16" spans="1:5" s="206" customFormat="1" ht="19.5" customHeight="1">
      <c r="A16" s="207" t="s">
        <v>80</v>
      </c>
      <c r="B16" s="208">
        <f>SUM(B8:B15)</f>
        <v>12783800</v>
      </c>
      <c r="C16" s="208">
        <f>SUM(C8:C15)</f>
        <v>13520533.73</v>
      </c>
      <c r="D16" s="242" t="s">
        <v>289</v>
      </c>
      <c r="E16" s="210">
        <f>SUM(E8:E15)</f>
        <v>736733.7299999993</v>
      </c>
    </row>
    <row r="17" spans="1:6" ht="18.75" customHeight="1">
      <c r="A17" s="188" t="s">
        <v>254</v>
      </c>
      <c r="B17" s="142"/>
      <c r="C17" s="215">
        <f>162000+284000+213000+10000+20000+1599103</f>
        <v>2288103</v>
      </c>
      <c r="D17" s="211"/>
      <c r="E17" s="211"/>
      <c r="F17" s="206"/>
    </row>
    <row r="18" spans="1:3" s="206" customFormat="1" ht="20.25" customHeight="1">
      <c r="A18" s="191" t="s">
        <v>250</v>
      </c>
      <c r="C18" s="208">
        <f>SUM(C16:C17)</f>
        <v>15808636.73</v>
      </c>
    </row>
    <row r="19" spans="1:6" ht="5.25" customHeight="1">
      <c r="A19" s="211"/>
      <c r="B19" s="142"/>
      <c r="C19" s="142"/>
      <c r="D19" s="142"/>
      <c r="E19" s="142"/>
      <c r="F19" s="142"/>
    </row>
    <row r="20" spans="1:5" s="194" customFormat="1" ht="18" customHeight="1">
      <c r="A20" s="266" t="s">
        <v>29</v>
      </c>
      <c r="B20" s="268" t="s">
        <v>39</v>
      </c>
      <c r="C20" s="268" t="s">
        <v>81</v>
      </c>
      <c r="D20" s="192" t="s">
        <v>68</v>
      </c>
      <c r="E20" s="193" t="s">
        <v>69</v>
      </c>
    </row>
    <row r="21" spans="1:5" s="194" customFormat="1" ht="20.25" customHeight="1">
      <c r="A21" s="267"/>
      <c r="B21" s="269"/>
      <c r="C21" s="269"/>
      <c r="D21" s="195" t="s">
        <v>24</v>
      </c>
      <c r="E21" s="196" t="s">
        <v>70</v>
      </c>
    </row>
    <row r="22" spans="1:5" s="206" customFormat="1" ht="18.75" customHeight="1">
      <c r="A22" s="212" t="s">
        <v>255</v>
      </c>
      <c r="B22" s="213"/>
      <c r="C22" s="213"/>
      <c r="D22" s="213"/>
      <c r="E22" s="213"/>
    </row>
    <row r="23" spans="1:6" ht="15.75" customHeight="1">
      <c r="A23" s="206" t="s">
        <v>82</v>
      </c>
      <c r="B23" s="201">
        <v>1369160</v>
      </c>
      <c r="C23" s="201">
        <f>61947.8+3642+40142+261000+6074+6074+6074+150000+29574+99000-6000+6894+6894+160500+6000+15000+6894+76500</f>
        <v>936209.8</v>
      </c>
      <c r="D23" s="202" t="s">
        <v>83</v>
      </c>
      <c r="E23" s="254">
        <f>SUM(B23-C23)</f>
        <v>432950.19999999995</v>
      </c>
      <c r="F23" s="142"/>
    </row>
    <row r="24" spans="1:6" ht="18.75" customHeight="1">
      <c r="A24" s="206" t="s">
        <v>84</v>
      </c>
      <c r="B24" s="201">
        <v>1997700</v>
      </c>
      <c r="C24" s="201">
        <f>217820+108910+108910+108910+109750+110860+110860+108010+100040+110176</f>
        <v>1194246</v>
      </c>
      <c r="D24" s="202" t="s">
        <v>83</v>
      </c>
      <c r="E24" s="214">
        <f aca="true" t="shared" si="1" ref="E24:E33">SUM(B24-C24)</f>
        <v>803454</v>
      </c>
      <c r="F24" s="142"/>
    </row>
    <row r="25" spans="1:6" ht="18.75" customHeight="1">
      <c r="A25" s="206" t="s">
        <v>85</v>
      </c>
      <c r="B25" s="201">
        <v>0</v>
      </c>
      <c r="C25" s="201">
        <v>0</v>
      </c>
      <c r="D25" s="202" t="s">
        <v>83</v>
      </c>
      <c r="E25" s="214">
        <f t="shared" si="1"/>
        <v>0</v>
      </c>
      <c r="F25" s="142"/>
    </row>
    <row r="26" spans="1:6" ht="18.75" customHeight="1">
      <c r="A26" s="206" t="s">
        <v>86</v>
      </c>
      <c r="B26" s="201">
        <v>882080</v>
      </c>
      <c r="C26" s="201">
        <f>133840+66920+66920+66920+67920+68920+70540+85700+78120+78120</f>
        <v>783920</v>
      </c>
      <c r="D26" s="202" t="s">
        <v>83</v>
      </c>
      <c r="E26" s="214">
        <f t="shared" si="1"/>
        <v>98160</v>
      </c>
      <c r="F26" s="142"/>
    </row>
    <row r="27" spans="1:6" ht="18.75" customHeight="1">
      <c r="A27" s="206" t="s">
        <v>87</v>
      </c>
      <c r="B27" s="201">
        <v>1221440</v>
      </c>
      <c r="C27" s="201">
        <f>136078+68755+78324+49450+71160+50729+85170+49450+54392+55425</f>
        <v>698933</v>
      </c>
      <c r="D27" s="202" t="s">
        <v>83</v>
      </c>
      <c r="E27" s="214">
        <f t="shared" si="1"/>
        <v>522507</v>
      </c>
      <c r="F27" s="142"/>
    </row>
    <row r="28" spans="1:6" ht="18.75" customHeight="1">
      <c r="A28" s="206" t="s">
        <v>88</v>
      </c>
      <c r="B28" s="201">
        <v>2972450</v>
      </c>
      <c r="C28" s="201">
        <f>2099876+26390+380560</f>
        <v>2506826</v>
      </c>
      <c r="D28" s="202" t="s">
        <v>83</v>
      </c>
      <c r="E28" s="214">
        <f t="shared" si="1"/>
        <v>465624</v>
      </c>
      <c r="F28" s="179"/>
    </row>
    <row r="29" spans="1:6" ht="18.75" customHeight="1">
      <c r="A29" s="206" t="s">
        <v>89</v>
      </c>
      <c r="B29" s="201">
        <v>826180</v>
      </c>
      <c r="C29" s="201">
        <f>69950+43225+64000+6496+15399.37+225763.64+66864-0.01+7200+14900+20900+14020+24955+17400</f>
        <v>591073</v>
      </c>
      <c r="D29" s="202" t="s">
        <v>83</v>
      </c>
      <c r="E29" s="214">
        <f t="shared" si="1"/>
        <v>235107</v>
      </c>
      <c r="F29" s="179"/>
    </row>
    <row r="30" spans="1:6" ht="18.75" customHeight="1">
      <c r="A30" s="206" t="s">
        <v>90</v>
      </c>
      <c r="B30" s="201">
        <v>209650</v>
      </c>
      <c r="C30" s="201">
        <f>15090.82+5747.51+15586.7+14780.12+16375.24+25939.59+8038.05+6169.09+20989.45+24096.98</f>
        <v>152813.55</v>
      </c>
      <c r="D30" s="202" t="s">
        <v>83</v>
      </c>
      <c r="E30" s="214">
        <f t="shared" si="1"/>
        <v>56836.45000000001</v>
      </c>
      <c r="F30" s="179"/>
    </row>
    <row r="31" spans="1:6" ht="18.75" customHeight="1">
      <c r="A31" s="206" t="s">
        <v>91</v>
      </c>
      <c r="B31" s="201">
        <v>1966600</v>
      </c>
      <c r="C31" s="201">
        <f>798100+60000+120000+819100</f>
        <v>1797200</v>
      </c>
      <c r="D31" s="202" t="s">
        <v>83</v>
      </c>
      <c r="E31" s="214">
        <f t="shared" si="1"/>
        <v>169400</v>
      </c>
      <c r="F31" s="179"/>
    </row>
    <row r="32" spans="1:6" ht="18.75" customHeight="1">
      <c r="A32" s="206" t="s">
        <v>92</v>
      </c>
      <c r="B32" s="201">
        <v>54000</v>
      </c>
      <c r="C32" s="201">
        <f>25000+24000</f>
        <v>49000</v>
      </c>
      <c r="D32" s="202" t="s">
        <v>83</v>
      </c>
      <c r="E32" s="214">
        <f t="shared" si="1"/>
        <v>5000</v>
      </c>
      <c r="F32" s="179"/>
    </row>
    <row r="33" spans="1:6" ht="19.5" customHeight="1">
      <c r="A33" s="206" t="s">
        <v>98</v>
      </c>
      <c r="B33" s="201">
        <f>259920+770080</f>
        <v>1030000</v>
      </c>
      <c r="C33" s="201">
        <f>159700+192500</f>
        <v>352200</v>
      </c>
      <c r="D33" s="202" t="s">
        <v>83</v>
      </c>
      <c r="E33" s="214">
        <f t="shared" si="1"/>
        <v>677800</v>
      </c>
      <c r="F33" s="179"/>
    </row>
    <row r="34" spans="1:6" ht="18.75" customHeight="1">
      <c r="A34" s="181" t="s">
        <v>99</v>
      </c>
      <c r="B34" s="201">
        <v>254540</v>
      </c>
      <c r="C34" s="201">
        <f>19800+19800+12560+19800+18800</f>
        <v>90760</v>
      </c>
      <c r="D34" s="195" t="s">
        <v>83</v>
      </c>
      <c r="E34" s="214">
        <f>SUM(B34-C34)</f>
        <v>163780</v>
      </c>
      <c r="F34" s="179"/>
    </row>
    <row r="35" spans="1:6" s="206" customFormat="1" ht="20.25" customHeight="1">
      <c r="A35" s="188" t="s">
        <v>100</v>
      </c>
      <c r="B35" s="208">
        <f>SUM(B23:B34)</f>
        <v>12783800</v>
      </c>
      <c r="C35" s="215">
        <f>SUM(C23:C34)</f>
        <v>9153181.35</v>
      </c>
      <c r="D35" s="209" t="s">
        <v>24</v>
      </c>
      <c r="E35" s="216">
        <f>SUM(E23:E34)</f>
        <v>3630618.6500000004</v>
      </c>
      <c r="F35" s="179"/>
    </row>
    <row r="36" spans="1:3" s="206" customFormat="1" ht="20.25" customHeight="1">
      <c r="A36" s="206" t="s">
        <v>101</v>
      </c>
      <c r="C36" s="210">
        <f>158000+138000+68500+68500+68000+67500+67000+20000+67000+1386103+67000</f>
        <v>2175603</v>
      </c>
    </row>
    <row r="37" spans="1:3" s="206" customFormat="1" ht="20.25" customHeight="1">
      <c r="A37" s="217" t="s">
        <v>256</v>
      </c>
      <c r="C37" s="218">
        <f>SUM(C35:C36)</f>
        <v>11328784.35</v>
      </c>
    </row>
    <row r="38" spans="1:3" ht="13.5" customHeight="1">
      <c r="A38" s="219" t="s">
        <v>126</v>
      </c>
      <c r="B38" s="220"/>
      <c r="C38" s="221"/>
    </row>
    <row r="39" spans="1:6" ht="17.25" customHeight="1">
      <c r="A39" s="223" t="s">
        <v>142</v>
      </c>
      <c r="B39" s="223"/>
      <c r="C39" s="224">
        <f>SUM(C18-C37)</f>
        <v>4479852.380000001</v>
      </c>
      <c r="D39" s="211"/>
      <c r="E39" s="211"/>
      <c r="F39" s="142"/>
    </row>
    <row r="40" spans="1:3" ht="14.25" customHeight="1">
      <c r="A40" s="219" t="s">
        <v>103</v>
      </c>
      <c r="B40" s="220"/>
      <c r="C40" s="225"/>
    </row>
    <row r="41" spans="1:6" ht="25.5" customHeight="1">
      <c r="A41" s="226"/>
      <c r="B41" s="211"/>
      <c r="C41" s="227"/>
      <c r="D41" s="211"/>
      <c r="E41" s="211"/>
      <c r="F41" s="142"/>
    </row>
    <row r="42" spans="1:8" s="228" customFormat="1" ht="20.25" customHeight="1">
      <c r="A42" s="181" t="s">
        <v>146</v>
      </c>
      <c r="B42" s="181"/>
      <c r="C42" s="181"/>
      <c r="D42" s="181"/>
      <c r="E42" s="181"/>
      <c r="F42" s="181"/>
      <c r="G42" s="181"/>
      <c r="H42" s="181"/>
    </row>
    <row r="43" spans="1:8" s="228" customFormat="1" ht="16.5" customHeight="1">
      <c r="A43" s="181" t="s">
        <v>147</v>
      </c>
      <c r="B43" s="181"/>
      <c r="C43" s="181"/>
      <c r="D43" s="181"/>
      <c r="E43" s="181"/>
      <c r="F43" s="181"/>
      <c r="G43" s="181"/>
      <c r="H43" s="181"/>
    </row>
    <row r="44" spans="1:8" s="228" customFormat="1" ht="18" customHeight="1">
      <c r="A44" s="181" t="s">
        <v>245</v>
      </c>
      <c r="B44" s="181"/>
      <c r="C44" s="181"/>
      <c r="D44" s="181"/>
      <c r="E44" s="181"/>
      <c r="F44" s="181"/>
      <c r="G44" s="181"/>
      <c r="H44" s="181"/>
    </row>
  </sheetData>
  <mergeCells count="9">
    <mergeCell ref="A20:A21"/>
    <mergeCell ref="B20:B21"/>
    <mergeCell ref="C20:C21"/>
    <mergeCell ref="A1:E1"/>
    <mergeCell ref="A2:E2"/>
    <mergeCell ref="A3:E3"/>
    <mergeCell ref="A4:A5"/>
    <mergeCell ref="B4:B5"/>
    <mergeCell ref="C4:C5"/>
  </mergeCells>
  <printOptions/>
  <pageMargins left="0.5511811023622047" right="0.11811023622047245" top="0.33" bottom="0.43" header="0.2" footer="0.236220472440944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90" zoomScaleNormal="90" zoomScaleSheetLayoutView="90" workbookViewId="0" topLeftCell="A49">
      <selection activeCell="H75" sqref="H75"/>
    </sheetView>
  </sheetViews>
  <sheetFormatPr defaultColWidth="9.140625" defaultRowHeight="12.75"/>
  <cols>
    <col min="1" max="1" width="17.00390625" style="7" customWidth="1"/>
    <col min="2" max="2" width="16.57421875" style="6" customWidth="1"/>
    <col min="3" max="3" width="6.140625" style="7" customWidth="1"/>
    <col min="4" max="4" width="34.421875" style="7" customWidth="1"/>
    <col min="5" max="5" width="8.00390625" style="30" customWidth="1"/>
    <col min="6" max="6" width="24.00390625" style="7" customWidth="1"/>
    <col min="7" max="16384" width="9.140625" style="7" customWidth="1"/>
  </cols>
  <sheetData>
    <row r="1" spans="1:6" s="5" customFormat="1" ht="33.75" customHeight="1">
      <c r="A1" s="274" t="s">
        <v>0</v>
      </c>
      <c r="B1" s="274"/>
      <c r="C1" s="274"/>
      <c r="D1" s="274"/>
      <c r="E1" s="274"/>
      <c r="F1" s="274"/>
    </row>
    <row r="2" spans="1:6" s="5" customFormat="1" ht="26.25">
      <c r="A2" s="274" t="s">
        <v>252</v>
      </c>
      <c r="B2" s="274"/>
      <c r="C2" s="274"/>
      <c r="D2" s="274"/>
      <c r="E2" s="274"/>
      <c r="F2" s="274"/>
    </row>
    <row r="3" spans="1:5" s="5" customFormat="1" ht="30" customHeight="1">
      <c r="A3" s="4"/>
      <c r="B3" s="64"/>
      <c r="C3" s="4"/>
      <c r="D3" s="4"/>
      <c r="E3" s="4" t="s">
        <v>261</v>
      </c>
    </row>
    <row r="4" spans="1:6" ht="34.5" customHeight="1">
      <c r="A4" s="275" t="s">
        <v>36</v>
      </c>
      <c r="B4" s="275"/>
      <c r="C4" s="275"/>
      <c r="D4" s="275"/>
      <c r="E4" s="275"/>
      <c r="F4" s="275"/>
    </row>
    <row r="5" spans="1:6" ht="34.5" customHeight="1">
      <c r="A5" s="8"/>
      <c r="B5" s="65"/>
      <c r="C5" s="8"/>
      <c r="D5" s="9" t="s">
        <v>240</v>
      </c>
      <c r="E5" s="10"/>
      <c r="F5" s="8"/>
    </row>
    <row r="6" spans="1:6" ht="9.75" customHeight="1" thickBot="1">
      <c r="A6" s="8"/>
      <c r="B6" s="65"/>
      <c r="C6" s="8"/>
      <c r="D6" s="9"/>
      <c r="E6" s="10"/>
      <c r="F6" s="8"/>
    </row>
    <row r="7" spans="1:6" ht="33.75" customHeight="1" thickTop="1">
      <c r="A7" s="276" t="s">
        <v>37</v>
      </c>
      <c r="B7" s="277"/>
      <c r="C7" s="278"/>
      <c r="D7" s="279"/>
      <c r="E7" s="11"/>
      <c r="F7" s="12" t="s">
        <v>38</v>
      </c>
    </row>
    <row r="8" spans="1:6" ht="33" customHeight="1">
      <c r="A8" s="1" t="s">
        <v>39</v>
      </c>
      <c r="B8" s="66" t="s">
        <v>40</v>
      </c>
      <c r="C8" s="282" t="s">
        <v>29</v>
      </c>
      <c r="D8" s="283"/>
      <c r="E8" s="13" t="s">
        <v>41</v>
      </c>
      <c r="F8" s="2" t="s">
        <v>40</v>
      </c>
    </row>
    <row r="9" spans="1:6" ht="24" thickBot="1">
      <c r="A9" s="14" t="s">
        <v>42</v>
      </c>
      <c r="B9" s="67" t="s">
        <v>42</v>
      </c>
      <c r="C9" s="280"/>
      <c r="D9" s="281"/>
      <c r="E9" s="15" t="s">
        <v>43</v>
      </c>
      <c r="F9" s="14" t="s">
        <v>42</v>
      </c>
    </row>
    <row r="10" spans="1:6" ht="36.75" customHeight="1" thickTop="1">
      <c r="A10" s="16"/>
      <c r="B10" s="20">
        <v>9759765.61</v>
      </c>
      <c r="C10" s="18" t="s">
        <v>32</v>
      </c>
      <c r="D10" s="19"/>
      <c r="E10" s="11"/>
      <c r="F10" s="20">
        <v>13299157.14</v>
      </c>
    </row>
    <row r="11" spans="1:6" ht="23.25">
      <c r="A11" s="16"/>
      <c r="B11" s="68"/>
      <c r="C11" s="21" t="s">
        <v>44</v>
      </c>
      <c r="D11" s="22"/>
      <c r="E11" s="13"/>
      <c r="F11" s="20"/>
    </row>
    <row r="12" spans="1:6" ht="23.25">
      <c r="A12" s="183">
        <v>62552</v>
      </c>
      <c r="B12" s="17">
        <f>817.02+494.84+3013.54+5758.3+5325.76+5467.27+4539.89+2299.76+9570.17+6515.69+1350.13</f>
        <v>45152.37</v>
      </c>
      <c r="C12" s="23" t="s">
        <v>45</v>
      </c>
      <c r="D12" s="24"/>
      <c r="E12" s="13" t="s">
        <v>46</v>
      </c>
      <c r="F12" s="20">
        <v>1350.13</v>
      </c>
    </row>
    <row r="13" spans="1:6" ht="23.25">
      <c r="A13" s="183">
        <v>0</v>
      </c>
      <c r="B13" s="17">
        <v>0</v>
      </c>
      <c r="C13" s="23" t="s">
        <v>47</v>
      </c>
      <c r="D13" s="24"/>
      <c r="E13" s="13" t="s">
        <v>48</v>
      </c>
      <c r="F13" s="20">
        <v>0</v>
      </c>
    </row>
    <row r="14" spans="1:6" ht="23.25">
      <c r="A14" s="183">
        <v>66600</v>
      </c>
      <c r="B14" s="17">
        <f>1852.06+5647.94+11491.36+1852.06+7500+5647.94+1852.06</f>
        <v>35843.42</v>
      </c>
      <c r="C14" s="23" t="s">
        <v>22</v>
      </c>
      <c r="D14" s="24"/>
      <c r="E14" s="13" t="s">
        <v>23</v>
      </c>
      <c r="F14" s="25">
        <v>1852.06</v>
      </c>
    </row>
    <row r="15" spans="1:6" ht="23.25">
      <c r="A15" s="183">
        <v>0</v>
      </c>
      <c r="B15" s="17">
        <v>0</v>
      </c>
      <c r="C15" s="23" t="s">
        <v>25</v>
      </c>
      <c r="D15" s="24"/>
      <c r="E15" s="13" t="s">
        <v>26</v>
      </c>
      <c r="F15" s="26">
        <v>0</v>
      </c>
    </row>
    <row r="16" spans="1:6" ht="23.25">
      <c r="A16" s="183">
        <v>16500</v>
      </c>
      <c r="B16" s="17">
        <f>100+0.99+100+0.5+3</f>
        <v>204.49</v>
      </c>
      <c r="C16" s="23" t="s">
        <v>188</v>
      </c>
      <c r="D16" s="24"/>
      <c r="E16" s="13" t="s">
        <v>189</v>
      </c>
      <c r="F16" s="25">
        <v>0</v>
      </c>
    </row>
    <row r="17" spans="1:6" ht="23.25">
      <c r="A17" s="183">
        <v>0</v>
      </c>
      <c r="B17" s="17">
        <v>0</v>
      </c>
      <c r="C17" s="23" t="s">
        <v>190</v>
      </c>
      <c r="D17" s="24"/>
      <c r="E17" s="13" t="s">
        <v>191</v>
      </c>
      <c r="F17" s="26">
        <v>0</v>
      </c>
    </row>
    <row r="18" spans="1:6" ht="23.25">
      <c r="A18" s="183">
        <v>5684928</v>
      </c>
      <c r="B18" s="17">
        <f>850235.42+224781.13+964250.9+248633.26+226073.05+994168.72+8+229794.74+1033291.12+204648.14+934997.18+228508.79</f>
        <v>6139390.449999999</v>
      </c>
      <c r="C18" s="23" t="s">
        <v>192</v>
      </c>
      <c r="D18" s="24"/>
      <c r="E18" s="13" t="s">
        <v>193</v>
      </c>
      <c r="F18" s="25">
        <v>228508.79</v>
      </c>
    </row>
    <row r="19" spans="1:6" ht="23.25">
      <c r="A19" s="183">
        <v>6953220</v>
      </c>
      <c r="B19" s="17">
        <f>1529133+5770810</f>
        <v>7299943</v>
      </c>
      <c r="C19" s="23" t="s">
        <v>194</v>
      </c>
      <c r="D19" s="24"/>
      <c r="E19" s="13" t="s">
        <v>195</v>
      </c>
      <c r="F19" s="25">
        <v>0</v>
      </c>
    </row>
    <row r="20" spans="1:6" ht="39.75" customHeight="1" thickBot="1">
      <c r="A20" s="184">
        <f>SUM(A12:A19)</f>
        <v>12783800</v>
      </c>
      <c r="B20" s="27">
        <f>SUM(B12:B19)</f>
        <v>13520533.73</v>
      </c>
      <c r="E20" s="13"/>
      <c r="F20" s="27">
        <f>SUM(F12:F19)</f>
        <v>231710.98</v>
      </c>
    </row>
    <row r="21" spans="1:6" ht="34.5" customHeight="1" thickTop="1">
      <c r="A21" s="24"/>
      <c r="B21" s="25">
        <f>162000+284000+213000+10000+20000+1599103</f>
        <v>2288103</v>
      </c>
      <c r="C21" s="23" t="s">
        <v>196</v>
      </c>
      <c r="D21" s="24"/>
      <c r="E21" s="13" t="s">
        <v>197</v>
      </c>
      <c r="F21" s="25">
        <v>0</v>
      </c>
    </row>
    <row r="22" spans="1:6" ht="23.25">
      <c r="A22" s="24"/>
      <c r="B22" s="25">
        <f>6404.58+47897.69+8346.19+2338.42+6153.79+36954.99+5753.79+3234.81+17094.31+4366.29</f>
        <v>138544.86000000002</v>
      </c>
      <c r="C22" s="23" t="s">
        <v>106</v>
      </c>
      <c r="D22" s="24"/>
      <c r="E22" s="13" t="s">
        <v>33</v>
      </c>
      <c r="F22" s="25">
        <v>4366.29</v>
      </c>
    </row>
    <row r="23" spans="1:6" ht="23.25">
      <c r="A23" s="24"/>
      <c r="B23" s="25">
        <f>11990+13522+196730+83520+186678+70+185930+98280+81820</f>
        <v>858540</v>
      </c>
      <c r="C23" s="23" t="s">
        <v>107</v>
      </c>
      <c r="D23" s="24"/>
      <c r="E23" s="13" t="s">
        <v>220</v>
      </c>
      <c r="F23" s="20">
        <v>81820</v>
      </c>
    </row>
    <row r="24" spans="1:6" ht="23.25">
      <c r="A24" s="24"/>
      <c r="B24" s="25">
        <v>14</v>
      </c>
      <c r="C24" s="23" t="s">
        <v>112</v>
      </c>
      <c r="D24" s="24"/>
      <c r="E24" s="13" t="s">
        <v>217</v>
      </c>
      <c r="F24" s="20">
        <v>0</v>
      </c>
    </row>
    <row r="25" spans="1:6" ht="23.25">
      <c r="A25" s="24"/>
      <c r="B25" s="25">
        <v>9</v>
      </c>
      <c r="C25" s="23" t="s">
        <v>117</v>
      </c>
      <c r="D25" s="24"/>
      <c r="E25" s="13" t="s">
        <v>35</v>
      </c>
      <c r="F25" s="20">
        <v>0</v>
      </c>
    </row>
    <row r="26" spans="1:6" ht="23.25">
      <c r="A26" s="24"/>
      <c r="B26" s="25">
        <v>0.01</v>
      </c>
      <c r="C26" s="23" t="s">
        <v>238</v>
      </c>
      <c r="D26" s="24"/>
      <c r="E26" s="13" t="s">
        <v>208</v>
      </c>
      <c r="F26" s="20">
        <v>0</v>
      </c>
    </row>
    <row r="27" spans="1:6" ht="23.25">
      <c r="A27" s="24"/>
      <c r="B27" s="17">
        <v>6000</v>
      </c>
      <c r="C27" s="23" t="s">
        <v>50</v>
      </c>
      <c r="D27" s="24"/>
      <c r="E27" s="13" t="s">
        <v>52</v>
      </c>
      <c r="F27" s="20">
        <v>0</v>
      </c>
    </row>
    <row r="28" spans="1:6" ht="23.25">
      <c r="A28" s="24"/>
      <c r="B28" s="17">
        <v>4650</v>
      </c>
      <c r="C28" s="23" t="s">
        <v>117</v>
      </c>
      <c r="D28" s="24"/>
      <c r="E28" s="13" t="s">
        <v>258</v>
      </c>
      <c r="F28" s="20">
        <v>0</v>
      </c>
    </row>
    <row r="29" spans="1:6" ht="23.25">
      <c r="A29" s="24"/>
      <c r="B29" s="17"/>
      <c r="C29" s="23"/>
      <c r="D29" s="24"/>
      <c r="E29" s="13"/>
      <c r="F29" s="20"/>
    </row>
    <row r="30" spans="1:6" ht="25.5" customHeight="1">
      <c r="A30" s="24"/>
      <c r="B30" s="28">
        <f>SUM(B21:B29)</f>
        <v>3295860.8699999996</v>
      </c>
      <c r="C30" s="23"/>
      <c r="D30" s="24"/>
      <c r="E30" s="13"/>
      <c r="F30" s="28">
        <f>SUM(F21:F28)</f>
        <v>86186.29</v>
      </c>
    </row>
    <row r="31" spans="1:6" ht="40.5" customHeight="1" thickBot="1">
      <c r="A31" s="24"/>
      <c r="B31" s="27">
        <f>SUM(B30+B20)</f>
        <v>16816394.6</v>
      </c>
      <c r="C31" s="282" t="s">
        <v>198</v>
      </c>
      <c r="D31" s="283"/>
      <c r="E31" s="29"/>
      <c r="F31" s="27">
        <f>SUM(F30+F20)</f>
        <v>317897.27</v>
      </c>
    </row>
    <row r="32" ht="12.75" customHeight="1" thickTop="1"/>
    <row r="33" ht="12.75" customHeight="1"/>
    <row r="34" ht="12.75" customHeight="1"/>
    <row r="35" ht="12.75" customHeight="1"/>
    <row r="36" ht="12.75" customHeight="1"/>
    <row r="37" ht="12.75" customHeight="1"/>
    <row r="38" spans="1:6" s="32" customFormat="1" ht="18" customHeight="1" thickBot="1">
      <c r="A38" s="45"/>
      <c r="B38" s="3"/>
      <c r="C38" s="45"/>
      <c r="D38" s="45" t="s">
        <v>199</v>
      </c>
      <c r="E38" s="45"/>
      <c r="F38" s="45"/>
    </row>
    <row r="39" spans="1:6" s="32" customFormat="1" ht="23.25" thickTop="1">
      <c r="A39" s="284" t="s">
        <v>37</v>
      </c>
      <c r="B39" s="285"/>
      <c r="C39" s="286"/>
      <c r="D39" s="287"/>
      <c r="E39" s="33"/>
      <c r="F39" s="34" t="s">
        <v>38</v>
      </c>
    </row>
    <row r="40" spans="1:6" s="32" customFormat="1" ht="22.5">
      <c r="A40" s="35" t="s">
        <v>39</v>
      </c>
      <c r="B40" s="69" t="s">
        <v>40</v>
      </c>
      <c r="C40" s="288" t="s">
        <v>29</v>
      </c>
      <c r="D40" s="289"/>
      <c r="E40" s="36" t="s">
        <v>41</v>
      </c>
      <c r="F40" s="31" t="s">
        <v>40</v>
      </c>
    </row>
    <row r="41" spans="1:6" s="32" customFormat="1" ht="18" customHeight="1" thickBot="1">
      <c r="A41" s="37" t="s">
        <v>42</v>
      </c>
      <c r="B41" s="70" t="s">
        <v>42</v>
      </c>
      <c r="C41" s="290"/>
      <c r="D41" s="291"/>
      <c r="E41" s="38" t="s">
        <v>43</v>
      </c>
      <c r="F41" s="39" t="s">
        <v>42</v>
      </c>
    </row>
    <row r="42" spans="1:6" s="32" customFormat="1" ht="19.5" customHeight="1" thickTop="1">
      <c r="A42" s="40"/>
      <c r="B42" s="41"/>
      <c r="C42" s="42" t="s">
        <v>200</v>
      </c>
      <c r="D42" s="43"/>
      <c r="E42" s="33"/>
      <c r="F42" s="44"/>
    </row>
    <row r="43" spans="1:6" s="51" customFormat="1" ht="22.5">
      <c r="A43" s="185">
        <f>150000+70000+80000+60000-840-4000-28800-12200-5000-9200-10800</f>
        <v>289160</v>
      </c>
      <c r="B43" s="46">
        <f>65589.8+40142+6074+6074+6074+29574+6894+6894+6894</f>
        <v>174209.8</v>
      </c>
      <c r="C43" s="47"/>
      <c r="D43" s="48" t="s">
        <v>201</v>
      </c>
      <c r="E43" s="49" t="s">
        <v>93</v>
      </c>
      <c r="F43" s="50">
        <v>6894</v>
      </c>
    </row>
    <row r="44" spans="1:6" s="51" customFormat="1" ht="22.5">
      <c r="A44" s="185">
        <f>40000+720000+360000-33800-6200</f>
        <v>1080000</v>
      </c>
      <c r="B44" s="46">
        <f>261000+150000+99000+181500+76500</f>
        <v>768000</v>
      </c>
      <c r="C44" s="47"/>
      <c r="D44" s="48" t="s">
        <v>201</v>
      </c>
      <c r="E44" s="49" t="s">
        <v>52</v>
      </c>
      <c r="F44" s="50">
        <v>76500</v>
      </c>
    </row>
    <row r="45" spans="1:6" s="51" customFormat="1" ht="22.5">
      <c r="A45" s="185">
        <v>1997700</v>
      </c>
      <c r="B45" s="46">
        <f>108910+108910+108910+108910+108910+109750+110860+110860+108010+100040+110176</f>
        <v>1194246</v>
      </c>
      <c r="C45" s="52"/>
      <c r="D45" s="48" t="s">
        <v>202</v>
      </c>
      <c r="E45" s="49" t="s">
        <v>94</v>
      </c>
      <c r="F45" s="50">
        <v>110176</v>
      </c>
    </row>
    <row r="46" spans="1:6" s="51" customFormat="1" ht="22.5">
      <c r="A46" s="186">
        <v>0</v>
      </c>
      <c r="B46" s="46">
        <f>F46</f>
        <v>0</v>
      </c>
      <c r="C46" s="52"/>
      <c r="D46" s="48" t="s">
        <v>203</v>
      </c>
      <c r="E46" s="49" t="s">
        <v>95</v>
      </c>
      <c r="F46" s="53">
        <v>0</v>
      </c>
    </row>
    <row r="47" spans="1:6" s="51" customFormat="1" ht="22.5">
      <c r="A47" s="185">
        <f>832080+4000+28800+12200+5000</f>
        <v>882080</v>
      </c>
      <c r="B47" s="46">
        <f>66920+66920+66920+66920+66920+67920+68920+70540+85700+78120+78120</f>
        <v>783920</v>
      </c>
      <c r="C47" s="52"/>
      <c r="D47" s="48" t="s">
        <v>204</v>
      </c>
      <c r="E47" s="49" t="s">
        <v>96</v>
      </c>
      <c r="F47" s="50">
        <v>78120</v>
      </c>
    </row>
    <row r="48" spans="1:6" s="51" customFormat="1" ht="22.5">
      <c r="A48" s="185">
        <f>1189000+840-12800-15600</f>
        <v>1161440</v>
      </c>
      <c r="B48" s="46">
        <f>49450+86628+68755+78324+49450+71160+50729+85170+49450+54392+55425</f>
        <v>698933</v>
      </c>
      <c r="C48" s="52"/>
      <c r="D48" s="48" t="s">
        <v>205</v>
      </c>
      <c r="E48" s="49" t="s">
        <v>253</v>
      </c>
      <c r="F48" s="50">
        <v>55425</v>
      </c>
    </row>
    <row r="49" spans="1:6" s="51" customFormat="1" ht="22.5">
      <c r="A49" s="185">
        <v>60000</v>
      </c>
      <c r="B49" s="46">
        <v>0</v>
      </c>
      <c r="C49" s="52"/>
      <c r="D49" s="48" t="s">
        <v>205</v>
      </c>
      <c r="E49" s="49" t="s">
        <v>290</v>
      </c>
      <c r="F49" s="50">
        <v>0</v>
      </c>
    </row>
    <row r="50" spans="1:6" s="51" customFormat="1" ht="22.5">
      <c r="A50" s="185">
        <f>460000-50000+1350-10000+12800+15600+10800</f>
        <v>440550</v>
      </c>
      <c r="B50" s="46">
        <f>11890+42790+34270+82264+2790+76759+8830+7480+14790+6520+26390</f>
        <v>314773</v>
      </c>
      <c r="C50" s="52"/>
      <c r="D50" s="48" t="s">
        <v>206</v>
      </c>
      <c r="E50" s="49" t="s">
        <v>35</v>
      </c>
      <c r="F50" s="50">
        <v>26390</v>
      </c>
    </row>
    <row r="51" spans="1:6" s="51" customFormat="1" ht="22.5">
      <c r="A51" s="185">
        <f>1885000+132800+105000+105000+80000+11000+41300+20000+10000+47780+72220+8200+6200+7400</f>
        <v>2531900</v>
      </c>
      <c r="B51" s="46">
        <f>17320+11140+67500+359880+214970+404132+104600+266690+182100+187820+380560</f>
        <v>2196712</v>
      </c>
      <c r="C51" s="52"/>
      <c r="D51" s="48" t="s">
        <v>206</v>
      </c>
      <c r="E51" s="49" t="s">
        <v>258</v>
      </c>
      <c r="F51" s="50">
        <f>375240+5320</f>
        <v>380560</v>
      </c>
    </row>
    <row r="52" spans="1:6" s="51" customFormat="1" ht="22.5">
      <c r="A52" s="185">
        <f>572600-25880-46720-29120+9200+10000</f>
        <v>490080</v>
      </c>
      <c r="B52" s="46">
        <f>69950+43225+6496+172413.01+7200+14020</f>
        <v>313304.01</v>
      </c>
      <c r="C52" s="52"/>
      <c r="D52" s="48" t="s">
        <v>207</v>
      </c>
      <c r="E52" s="49" t="s">
        <v>208</v>
      </c>
      <c r="F52" s="50">
        <v>0</v>
      </c>
    </row>
    <row r="53" spans="1:6" s="51" customFormat="1" ht="22.5">
      <c r="A53" s="253">
        <f>1021200-60000-132800-105000-105000-80000-11000-41300-20000-10000-47780-72220</f>
        <v>336100</v>
      </c>
      <c r="B53" s="46">
        <f>64000+15399.37+53350.63+66864+14900+20900+24955+17400</f>
        <v>277769</v>
      </c>
      <c r="C53" s="52"/>
      <c r="D53" s="48" t="s">
        <v>207</v>
      </c>
      <c r="E53" s="49" t="s">
        <v>115</v>
      </c>
      <c r="F53" s="50">
        <v>17400</v>
      </c>
    </row>
    <row r="54" spans="1:6" s="51" customFormat="1" ht="22.5">
      <c r="A54" s="185">
        <f>211000-1350</f>
        <v>209650</v>
      </c>
      <c r="B54" s="46">
        <f>867.6+14223.22+5747.51+15586.7+14780.12+16375.24+25939.59+8038.05+6169.09+20989.45+24096.98</f>
        <v>152813.55</v>
      </c>
      <c r="C54" s="52"/>
      <c r="D54" s="48" t="s">
        <v>209</v>
      </c>
      <c r="E54" s="49" t="s">
        <v>97</v>
      </c>
      <c r="F54" s="50">
        <v>24096.98</v>
      </c>
    </row>
    <row r="55" spans="1:6" s="51" customFormat="1" ht="22.5" customHeight="1">
      <c r="A55" s="186">
        <f>1923400+25000-8200+33800-7400</f>
        <v>1966600</v>
      </c>
      <c r="B55" s="46">
        <f>798100+60000+120000+819100</f>
        <v>1797200</v>
      </c>
      <c r="C55" s="52"/>
      <c r="D55" s="48" t="s">
        <v>194</v>
      </c>
      <c r="E55" s="54">
        <v>6400</v>
      </c>
      <c r="F55" s="50">
        <v>0</v>
      </c>
    </row>
    <row r="56" spans="1:6" s="51" customFormat="1" ht="22.5">
      <c r="A56" s="186">
        <v>54000</v>
      </c>
      <c r="B56" s="46">
        <f>25000+24000</f>
        <v>49000</v>
      </c>
      <c r="C56" s="52"/>
      <c r="D56" s="48" t="s">
        <v>210</v>
      </c>
      <c r="E56" s="49" t="s">
        <v>247</v>
      </c>
      <c r="F56" s="53">
        <v>0</v>
      </c>
    </row>
    <row r="57" spans="1:6" s="51" customFormat="1" ht="22.5">
      <c r="A57" s="186">
        <v>259920</v>
      </c>
      <c r="B57" s="46">
        <f>F57</f>
        <v>0</v>
      </c>
      <c r="C57" s="52"/>
      <c r="D57" s="48" t="s">
        <v>211</v>
      </c>
      <c r="E57" s="49" t="s">
        <v>212</v>
      </c>
      <c r="F57" s="53">
        <v>0</v>
      </c>
    </row>
    <row r="58" spans="1:6" s="51" customFormat="1" ht="22.5">
      <c r="A58" s="186">
        <v>770080</v>
      </c>
      <c r="B58" s="46">
        <f>159700+192500</f>
        <v>352200</v>
      </c>
      <c r="C58" s="52"/>
      <c r="D58" s="48" t="s">
        <v>211</v>
      </c>
      <c r="E58" s="49" t="s">
        <v>125</v>
      </c>
      <c r="F58" s="53">
        <v>0</v>
      </c>
    </row>
    <row r="59" spans="1:6" s="51" customFormat="1" ht="22.5">
      <c r="A59" s="186">
        <v>100000</v>
      </c>
      <c r="B59" s="46">
        <f>F59</f>
        <v>0</v>
      </c>
      <c r="C59" s="52"/>
      <c r="D59" s="48" t="s">
        <v>213</v>
      </c>
      <c r="E59" s="49" t="s">
        <v>111</v>
      </c>
      <c r="F59" s="53">
        <v>0</v>
      </c>
    </row>
    <row r="60" spans="1:6" s="51" customFormat="1" ht="22.5">
      <c r="A60" s="186">
        <v>154540</v>
      </c>
      <c r="B60" s="46">
        <f>19800+19800+12560+19800+18800</f>
        <v>90760</v>
      </c>
      <c r="C60" s="52"/>
      <c r="D60" s="57" t="s">
        <v>213</v>
      </c>
      <c r="E60" s="49" t="s">
        <v>116</v>
      </c>
      <c r="F60" s="53">
        <v>0</v>
      </c>
    </row>
    <row r="61" spans="1:6" s="51" customFormat="1" ht="23.25" thickBot="1">
      <c r="A61" s="187">
        <f>SUM(A43:A60)</f>
        <v>12783800</v>
      </c>
      <c r="B61" s="55">
        <f>SUM(B43:B60)</f>
        <v>9163840.36</v>
      </c>
      <c r="C61" s="52"/>
      <c r="E61" s="49"/>
      <c r="F61" s="56">
        <f>SUM(F43:F60)</f>
        <v>775561.98</v>
      </c>
    </row>
    <row r="62" spans="1:6" s="51" customFormat="1" ht="23.25" thickTop="1">
      <c r="A62" s="78"/>
      <c r="B62" s="58">
        <f>138000+138000+68500+68500+68000+67500+67000+67000+67000</f>
        <v>749500</v>
      </c>
      <c r="C62" s="52"/>
      <c r="D62" s="48" t="s">
        <v>201</v>
      </c>
      <c r="E62" s="49" t="s">
        <v>1</v>
      </c>
      <c r="F62" s="50">
        <v>67000</v>
      </c>
    </row>
    <row r="63" spans="1:6" s="51" customFormat="1" ht="21.75" customHeight="1">
      <c r="A63" s="57"/>
      <c r="B63" s="58">
        <f>20000+20000</f>
        <v>40000</v>
      </c>
      <c r="C63" s="52"/>
      <c r="D63" s="48" t="s">
        <v>206</v>
      </c>
      <c r="E63" s="49" t="s">
        <v>105</v>
      </c>
      <c r="F63" s="50">
        <v>0</v>
      </c>
    </row>
    <row r="64" spans="1:6" s="51" customFormat="1" ht="21.75" customHeight="1">
      <c r="A64" s="57"/>
      <c r="B64" s="58">
        <v>1386103</v>
      </c>
      <c r="C64" s="52"/>
      <c r="D64" s="48" t="s">
        <v>211</v>
      </c>
      <c r="E64" s="49" t="s">
        <v>215</v>
      </c>
      <c r="F64" s="50">
        <v>0</v>
      </c>
    </row>
    <row r="65" spans="1:6" s="51" customFormat="1" ht="22.5">
      <c r="A65" s="57"/>
      <c r="B65" s="58">
        <f>233180+563354+293000+44000+177000</f>
        <v>1310534</v>
      </c>
      <c r="C65" s="52"/>
      <c r="D65" s="48" t="s">
        <v>216</v>
      </c>
      <c r="E65" s="49" t="s">
        <v>217</v>
      </c>
      <c r="F65" s="50">
        <v>0</v>
      </c>
    </row>
    <row r="66" spans="1:6" s="51" customFormat="1" ht="22.5">
      <c r="A66" s="57"/>
      <c r="B66" s="58">
        <f>7596.08+37979.24+9459.38+7634.49+1680.18+5210.64+26103.88+5469.55+151016.98+24739</f>
        <v>276889.42000000004</v>
      </c>
      <c r="C66" s="52"/>
      <c r="D66" s="48" t="s">
        <v>218</v>
      </c>
      <c r="E66" s="49" t="s">
        <v>33</v>
      </c>
      <c r="F66" s="50">
        <v>24739</v>
      </c>
    </row>
    <row r="67" spans="1:6" s="51" customFormat="1" ht="22.5">
      <c r="A67" s="57"/>
      <c r="B67" s="58">
        <f>25512+50022+25230+284960+43330+144286+157650+24730+6000+96820+42160</f>
        <v>900700</v>
      </c>
      <c r="C67" s="52"/>
      <c r="D67" s="48" t="s">
        <v>219</v>
      </c>
      <c r="E67" s="49" t="s">
        <v>220</v>
      </c>
      <c r="F67" s="50">
        <v>42160</v>
      </c>
    </row>
    <row r="68" spans="1:6" s="51" customFormat="1" ht="22.5">
      <c r="A68" s="57"/>
      <c r="B68" s="50">
        <f>2000+2000+2000+2000+32000+1000</f>
        <v>41000</v>
      </c>
      <c r="C68" s="57"/>
      <c r="D68" s="48" t="s">
        <v>231</v>
      </c>
      <c r="E68" s="59" t="s">
        <v>221</v>
      </c>
      <c r="F68" s="50">
        <v>0</v>
      </c>
    </row>
    <row r="69" spans="1:6" s="51" customFormat="1" ht="22.5">
      <c r="A69" s="57"/>
      <c r="B69" s="50">
        <f>F69</f>
        <v>0</v>
      </c>
      <c r="C69" s="57"/>
      <c r="D69" s="57" t="s">
        <v>222</v>
      </c>
      <c r="E69" s="60"/>
      <c r="F69" s="50">
        <v>0</v>
      </c>
    </row>
    <row r="70" spans="1:6" s="51" customFormat="1" ht="22.5">
      <c r="A70" s="57"/>
      <c r="B70" s="61">
        <f>SUM(B62:B69)</f>
        <v>4704726.42</v>
      </c>
      <c r="C70" s="292" t="s">
        <v>223</v>
      </c>
      <c r="D70" s="292"/>
      <c r="E70" s="60"/>
      <c r="F70" s="61">
        <f>SUM(F62:F69)</f>
        <v>133899</v>
      </c>
    </row>
    <row r="71" spans="1:6" s="51" customFormat="1" ht="16.5" customHeight="1">
      <c r="A71" s="57"/>
      <c r="B71" s="79"/>
      <c r="C71" s="273" t="s">
        <v>224</v>
      </c>
      <c r="D71" s="273"/>
      <c r="E71" s="60"/>
      <c r="F71" s="79"/>
    </row>
    <row r="72" spans="1:6" s="51" customFormat="1" ht="18" customHeight="1">
      <c r="A72" s="57"/>
      <c r="B72" s="50">
        <f>B31-B70</f>
        <v>12111668.180000002</v>
      </c>
      <c r="C72" s="273" t="s">
        <v>225</v>
      </c>
      <c r="D72" s="273"/>
      <c r="E72" s="60"/>
      <c r="F72" s="50">
        <f>F31-F70</f>
        <v>183998.27000000002</v>
      </c>
    </row>
    <row r="73" spans="1:6" s="51" customFormat="1" ht="17.25" customHeight="1">
      <c r="A73" s="57"/>
      <c r="B73" s="50"/>
      <c r="C73" s="273" t="s">
        <v>226</v>
      </c>
      <c r="D73" s="273"/>
      <c r="E73" s="60"/>
      <c r="F73" s="50"/>
    </row>
    <row r="74" spans="2:6" s="51" customFormat="1" ht="20.25" customHeight="1" thickBot="1">
      <c r="B74" s="56">
        <f>SUM(B10+B31-B61-B70)</f>
        <v>12707593.430000002</v>
      </c>
      <c r="C74" s="76"/>
      <c r="D74" s="77" t="s">
        <v>31</v>
      </c>
      <c r="E74" s="62"/>
      <c r="F74" s="56">
        <f>SUM(F10+F31-F61-F70)</f>
        <v>12707593.43</v>
      </c>
    </row>
    <row r="75" spans="1:6" s="5" customFormat="1" ht="51" customHeight="1" thickTop="1">
      <c r="A75" s="73" t="s">
        <v>241</v>
      </c>
      <c r="B75" s="73"/>
      <c r="C75" s="73"/>
      <c r="D75" s="73"/>
      <c r="E75" s="73"/>
      <c r="F75" s="73"/>
    </row>
    <row r="76" spans="1:6" s="5" customFormat="1" ht="21" customHeight="1">
      <c r="A76" s="73" t="s">
        <v>244</v>
      </c>
      <c r="B76" s="73"/>
      <c r="C76" s="73"/>
      <c r="D76" s="73"/>
      <c r="E76" s="73"/>
      <c r="F76" s="73"/>
    </row>
    <row r="77" spans="1:6" s="5" customFormat="1" ht="21" customHeight="1">
      <c r="A77" s="73" t="s">
        <v>51</v>
      </c>
      <c r="B77" s="73"/>
      <c r="C77" s="73"/>
      <c r="D77" s="73"/>
      <c r="E77" s="73"/>
      <c r="F77" s="73"/>
    </row>
  </sheetData>
  <mergeCells count="16">
    <mergeCell ref="C73:D73"/>
    <mergeCell ref="A2:F2"/>
    <mergeCell ref="C9:D9"/>
    <mergeCell ref="C31:D31"/>
    <mergeCell ref="A39:B39"/>
    <mergeCell ref="C39:D39"/>
    <mergeCell ref="C8:D8"/>
    <mergeCell ref="C40:D40"/>
    <mergeCell ref="C41:D41"/>
    <mergeCell ref="C70:D70"/>
    <mergeCell ref="C71:D71"/>
    <mergeCell ref="C72:D72"/>
    <mergeCell ref="A1:F1"/>
    <mergeCell ref="A4:F4"/>
    <mergeCell ref="A7:B7"/>
    <mergeCell ref="C7:D7"/>
  </mergeCells>
  <printOptions/>
  <pageMargins left="0.58" right="0.11811023622047245" top="0.5118110236220472" bottom="1.36" header="0.19" footer="0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 Used Only</cp:lastModifiedBy>
  <cp:lastPrinted>2010-09-13T05:25:41Z</cp:lastPrinted>
  <dcterms:created xsi:type="dcterms:W3CDTF">1996-10-14T23:33:28Z</dcterms:created>
  <dcterms:modified xsi:type="dcterms:W3CDTF">2010-09-13T05:31:21Z</dcterms:modified>
  <cp:category/>
  <cp:version/>
  <cp:contentType/>
  <cp:contentStatus/>
</cp:coreProperties>
</file>